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codeName="ThisWorkbook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13_ncr:1_{3CBBD1DA-9655-4B7E-9439-EB544745EF8D}" xr6:coauthVersionLast="38" xr6:coauthVersionMax="38" xr10:uidLastSave="{00000000-0000-0000-0000-000000000000}"/>
  <workbookProtection workbookAlgorithmName="SHA-512" workbookHashValue="dE9XYcQfNpEWrZacjzv3drOA2xW/bi4ncxCDXT92LAEPog6d/2diCBsNzkuRo2wViaP2hRc+oliNA5oLtfnsCg==" workbookSaltValue="khsecuJtIpJ1+i8bpTtkkg==" workbookSpinCount="100000" lockStructure="1"/>
  <bookViews>
    <workbookView xWindow="0" yWindow="0" windowWidth="28800" windowHeight="12210" xr2:uid="{00000000-000D-0000-FFFF-FFFF00000000}"/>
  </bookViews>
  <sheets>
    <sheet name="SERVICEABILITY CALCULATOR" sheetId="7" r:id="rId1"/>
    <sheet name="ADDITIONAL INFO" sheetId="3" state="hidden" r:id="rId2"/>
  </sheets>
  <definedNames>
    <definedName name="_xlnm.Print_Area" localSheetId="0">'SERVICEABILITY CALCULATOR'!$B$2:$H$48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39" i="3" l="1"/>
  <c r="AE39" i="3" s="1"/>
  <c r="AO29" i="3" s="1"/>
  <c r="Y39" i="3"/>
  <c r="AE37" i="3" l="1"/>
  <c r="AE36" i="3"/>
  <c r="AE35" i="3"/>
  <c r="AE34" i="3"/>
  <c r="AE31" i="3"/>
  <c r="AE30" i="3"/>
  <c r="AE29" i="3"/>
  <c r="AE28" i="3"/>
  <c r="Y37" i="3"/>
  <c r="Y36" i="3"/>
  <c r="Y35" i="3"/>
  <c r="Y34" i="3"/>
  <c r="Y31" i="3"/>
  <c r="Y30" i="3"/>
  <c r="Y29" i="3"/>
  <c r="Y28" i="3"/>
  <c r="AJ29" i="3" s="1"/>
  <c r="AJ33" i="3" l="1"/>
  <c r="AN31" i="3"/>
  <c r="AN32" i="3"/>
  <c r="AJ30" i="3"/>
  <c r="AN30" i="3"/>
  <c r="AJ31" i="3"/>
  <c r="AJ32" i="3"/>
  <c r="AK29" i="3"/>
  <c r="AO31" i="3"/>
  <c r="H24" i="7"/>
  <c r="AR31" i="3" l="1"/>
  <c r="AR30" i="3"/>
  <c r="AK31" i="3"/>
  <c r="AS31" i="3" s="1"/>
  <c r="AK33" i="3"/>
  <c r="AK30" i="3"/>
  <c r="AR32" i="3"/>
  <c r="AN29" i="3"/>
  <c r="AN33" i="3"/>
  <c r="AR33" i="3" s="1"/>
  <c r="AK32" i="3"/>
  <c r="AO33" i="3"/>
  <c r="AO30" i="3"/>
  <c r="AO32" i="3"/>
  <c r="G41" i="7"/>
  <c r="AS32" i="3" l="1"/>
  <c r="AS30" i="3"/>
  <c r="AS29" i="3"/>
  <c r="AR29" i="3"/>
  <c r="AS33" i="3"/>
  <c r="S17" i="7"/>
  <c r="Z9" i="7" l="1"/>
  <c r="G6" i="7"/>
  <c r="G7" i="7"/>
  <c r="G8" i="7"/>
  <c r="G9" i="7"/>
  <c r="Z8" i="7"/>
  <c r="Z7" i="7" l="1"/>
  <c r="Z12" i="7"/>
  <c r="Z11" i="7"/>
  <c r="Z10" i="7"/>
  <c r="Z14" i="7" l="1"/>
  <c r="R27" i="7"/>
  <c r="R28" i="7" s="1"/>
  <c r="R29" i="7" s="1"/>
  <c r="R30" i="7" s="1"/>
  <c r="R31" i="7" s="1"/>
  <c r="R32" i="7" s="1"/>
  <c r="R33" i="7" s="1"/>
  <c r="R34" i="7" s="1"/>
  <c r="R35" i="7" s="1"/>
  <c r="R36" i="7" s="1"/>
  <c r="R37" i="7" s="1"/>
  <c r="R38" i="7" s="1"/>
  <c r="R39" i="7" s="1"/>
  <c r="R40" i="7" s="1"/>
  <c r="R41" i="7" s="1"/>
  <c r="F24" i="3" l="1"/>
  <c r="T17" i="7" l="1"/>
  <c r="T18" i="7" l="1"/>
  <c r="S18" i="7"/>
  <c r="T20" i="7" l="1"/>
  <c r="S19" i="7"/>
  <c r="S21" i="7"/>
  <c r="S20" i="7"/>
  <c r="T19" i="7"/>
  <c r="T21" i="7"/>
  <c r="H34" i="7" l="1"/>
  <c r="H41" i="7"/>
  <c r="H35" i="7"/>
  <c r="H37" i="7" s="1"/>
  <c r="H43" i="7" l="1"/>
  <c r="H44" i="7"/>
  <c r="Q7" i="7"/>
  <c r="Q8" i="7"/>
  <c r="Q9" i="7"/>
  <c r="Q10" i="7"/>
  <c r="H22" i="7"/>
  <c r="B15" i="7"/>
  <c r="B26" i="7" s="1"/>
  <c r="B29" i="7" s="1"/>
  <c r="B40" i="7" s="1"/>
  <c r="F13" i="7"/>
  <c r="S23" i="7" s="1"/>
  <c r="H19" i="7" s="1"/>
  <c r="G11" i="7"/>
  <c r="G10" i="7"/>
  <c r="F12" i="3"/>
  <c r="AJ35" i="3" l="1"/>
  <c r="F21" i="3" s="1"/>
  <c r="F12" i="7"/>
  <c r="H12" i="7" s="1"/>
  <c r="H27" i="7" l="1"/>
  <c r="H47" i="7" l="1"/>
  <c r="H46" i="7"/>
  <c r="G47" i="7"/>
  <c r="G46" i="7"/>
  <c r="E5" i="3"/>
  <c r="B62" i="3"/>
  <c r="E49" i="3"/>
  <c r="F49" i="3" s="1"/>
  <c r="B44" i="3"/>
  <c r="F43" i="3"/>
  <c r="B43" i="3"/>
  <c r="F40" i="3"/>
  <c r="F39" i="3"/>
  <c r="F27" i="3"/>
  <c r="A15" i="3"/>
  <c r="A29" i="3" s="1"/>
  <c r="A33" i="3" s="1"/>
  <c r="A47" i="3" s="1"/>
  <c r="E10" i="3"/>
  <c r="P9" i="3"/>
  <c r="E9" i="3"/>
  <c r="P8" i="3"/>
  <c r="E8" i="3"/>
  <c r="P7" i="3"/>
  <c r="E7" i="3"/>
  <c r="P6" i="3"/>
  <c r="E6" i="3"/>
  <c r="F54" i="3" l="1"/>
  <c r="D11" i="3"/>
  <c r="F11" i="3" s="1"/>
  <c r="F31" i="3" s="1"/>
  <c r="F52" i="3"/>
  <c r="F55" i="3"/>
  <c r="H55" i="3" s="1"/>
  <c r="F44" i="3"/>
  <c r="F51" i="3"/>
  <c r="E54" i="3" l="1"/>
  <c r="E55" i="3"/>
  <c r="D62" i="3"/>
  <c r="E62" i="3" s="1"/>
</calcChain>
</file>

<file path=xl/sharedStrings.xml><?xml version="1.0" encoding="utf-8"?>
<sst xmlns="http://schemas.openxmlformats.org/spreadsheetml/2006/main" count="194" uniqueCount="101">
  <si>
    <t>BLUESTONE MORTGAGES SERVICEABILITY CALCULATOR</t>
  </si>
  <si>
    <t>INCOME AVAILABLE</t>
  </si>
  <si>
    <t>&lt;ENTER INPUTS&gt;</t>
  </si>
  <si>
    <t>per annum</t>
  </si>
  <si>
    <t>per month</t>
  </si>
  <si>
    <t>Manual entry field</t>
  </si>
  <si>
    <t>Income Tax</t>
  </si>
  <si>
    <t>source</t>
  </si>
  <si>
    <t>Medicare levy</t>
  </si>
  <si>
    <t>Gross</t>
  </si>
  <si>
    <t>Net</t>
  </si>
  <si>
    <t>calculation field</t>
  </si>
  <si>
    <t>from</t>
  </si>
  <si>
    <t>to</t>
  </si>
  <si>
    <t>tax rates</t>
  </si>
  <si>
    <t>min salary</t>
  </si>
  <si>
    <t>Income Borrower 1</t>
  </si>
  <si>
    <t xml:space="preserve">threshold </t>
  </si>
  <si>
    <t>Income Borrower 2</t>
  </si>
  <si>
    <t>Income Borrower 3</t>
  </si>
  <si>
    <t>months in year</t>
  </si>
  <si>
    <t>Income Borrower 4</t>
  </si>
  <si>
    <t>Annual Rents</t>
  </si>
  <si>
    <t>Other Income (e.g. Pension etc NET figure)</t>
  </si>
  <si>
    <t>TOTAL</t>
  </si>
  <si>
    <t>Rent Haircut</t>
  </si>
  <si>
    <t># borrowers</t>
  </si>
  <si>
    <t>Other Income Haircut</t>
  </si>
  <si>
    <t>Other Debt Service</t>
  </si>
  <si>
    <t>EXPENSES</t>
  </si>
  <si>
    <t>LIVING</t>
  </si>
  <si>
    <t>Marital Status</t>
  </si>
  <si>
    <t>Expense</t>
  </si>
  <si>
    <t>Dependants</t>
  </si>
  <si>
    <t>Married</t>
  </si>
  <si>
    <t>No of Dependants</t>
  </si>
  <si>
    <t>Single</t>
  </si>
  <si>
    <t>Optional: additional expense (if more than 1 borrower)</t>
  </si>
  <si>
    <t>Defacto</t>
  </si>
  <si>
    <t>Living Expenses</t>
  </si>
  <si>
    <t>Divorced</t>
  </si>
  <si>
    <t>Widowed</t>
  </si>
  <si>
    <t>OTHER LOAN REPAYMENTS</t>
  </si>
  <si>
    <t>Expense to Use</t>
  </si>
  <si>
    <t>CREDIT CARDS LIMIT</t>
  </si>
  <si>
    <t>credit card servicing cost</t>
  </si>
  <si>
    <t>INCOME AVAILABLE TO SERVICE MORTGAGE</t>
  </si>
  <si>
    <t>MORTGAGE FEATURE</t>
  </si>
  <si>
    <t>Repay Type</t>
  </si>
  <si>
    <t>Principal and Interest</t>
  </si>
  <si>
    <t>Interest Only Term</t>
  </si>
  <si>
    <t>Amount</t>
  </si>
  <si>
    <t>Term</t>
  </si>
  <si>
    <t>Interest Rate</t>
  </si>
  <si>
    <t>Loan Repayment</t>
  </si>
  <si>
    <t>SERVICEABILITY CALCULATION</t>
  </si>
  <si>
    <t>status</t>
  </si>
  <si>
    <t>Stressed Interest Rate</t>
  </si>
  <si>
    <t>Normal</t>
  </si>
  <si>
    <t>Stressed</t>
  </si>
  <si>
    <t>Surplus</t>
  </si>
  <si>
    <t>Surplus at Stress</t>
  </si>
  <si>
    <t>CHECK</t>
  </si>
  <si>
    <t>Property Value</t>
  </si>
  <si>
    <t>LVR Band</t>
  </si>
  <si>
    <t>PER ANNUM</t>
  </si>
  <si>
    <t>PER MONTH</t>
  </si>
  <si>
    <t>STATUS</t>
  </si>
  <si>
    <t>Other Loan Repayments</t>
  </si>
  <si>
    <t>Credit Cards Limit</t>
  </si>
  <si>
    <t>Credit Card Servicing Cost</t>
  </si>
  <si>
    <t>Number of Borrowers</t>
  </si>
  <si>
    <t>Loan Amount</t>
  </si>
  <si>
    <t>Term (years)</t>
  </si>
  <si>
    <t>Couple</t>
  </si>
  <si>
    <t>Couple Plus 1</t>
  </si>
  <si>
    <t>HEM $ per Week</t>
  </si>
  <si>
    <t>HEM $ per Month</t>
  </si>
  <si>
    <t>Couple Plus 2</t>
  </si>
  <si>
    <t>Couple Plus 3 or More</t>
  </si>
  <si>
    <t>Single Plus 1</t>
  </si>
  <si>
    <t>Single Plus 2</t>
  </si>
  <si>
    <t>Single Plus 3 or More</t>
  </si>
  <si>
    <t>Dependant</t>
  </si>
  <si>
    <t>Interest Only Term (years)</t>
  </si>
  <si>
    <t>MORTGAGE FEATURES</t>
  </si>
  <si>
    <t>Monthly Declared Expenses</t>
  </si>
  <si>
    <t>Other Income (e.g. Pension, NET figure)</t>
  </si>
  <si>
    <t>income</t>
  </si>
  <si>
    <t>less levy</t>
  </si>
  <si>
    <t>less tax 1</t>
  </si>
  <si>
    <t>less tax 2</t>
  </si>
  <si>
    <t>less tax 3</t>
  </si>
  <si>
    <t>less tax 4</t>
  </si>
  <si>
    <t>sum</t>
  </si>
  <si>
    <t>Change</t>
  </si>
  <si>
    <t>CURRENT FIGURES</t>
  </si>
  <si>
    <t>NEW FIGURES</t>
  </si>
  <si>
    <t>Current HEM (Q2 2018)</t>
  </si>
  <si>
    <t>New HEM (Q3 2018)</t>
  </si>
  <si>
    <t>Version 2.2 November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</si>
</sst>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_-&quot;£&quot;* #,##0.00_-;\-&quot;£&quot;* #,##0.00_-;_-&quot;£&quot;* &quot;-&quot;??_-;_-@_-"/>
    <numFmt numFmtId="165" formatCode="&quot;$&quot;#,##0.00_);[Red]\(&quot;$&quot;#,##0.00\)"/>
    <numFmt numFmtId="166" formatCode="[=0]&quot;&lt;enter income of borrower 1&gt;&quot;;#,##0"/>
    <numFmt numFmtId="167" formatCode="[=0]&quot;&lt;enter income of borrower 2&gt;&quot;;#,##0"/>
    <numFmt numFmtId="168" formatCode="[=0]&quot;&lt;enter income of borrower 3&gt;&quot;;#,##0"/>
    <numFmt numFmtId="169" formatCode="[=0]&quot;&lt;enter income of borrower 4&gt;&quot;;#,##0"/>
    <numFmt numFmtId="170" formatCode="[=0]&quot;&lt;no annual rent entered&gt;&quot;;#,##0"/>
    <numFmt numFmtId="171" formatCode="[=0]&quot;&lt;no other income entered&gt;&quot;;#,##0"/>
    <numFmt numFmtId="172" formatCode="[=0]&quot;zero dependents&quot;;#,##0"/>
    <numFmt numFmtId="173" formatCode="[=0]&quot;&lt;no declared living expenses&gt;&quot;;#,##0"/>
    <numFmt numFmtId="174" formatCode="_-&quot;$&quot;* #,##0_-;\-&quot;$&quot;* #,##0_-;_-&quot;$&quot;* &quot;-&quot;??_-;_-@_-"/>
    <numFmt numFmtId="175" formatCode="[=0]&quot;no IO term entered&quot;;#,##0\ &quot;YR&quot;"/>
    <numFmt numFmtId="176" formatCode="[=0]&quot;&lt;no loan amount entered&gt;&quot;;#,##0"/>
    <numFmt numFmtId="177" formatCode="[=0]&quot;&lt;no loan term entered&gt;&quot;;#,##0\ &quot;YR&quot;"/>
    <numFmt numFmtId="178" formatCode="#,##0\ &quot;MTH&quot;"/>
    <numFmt numFmtId="179" formatCode="[=0]&quot;&lt;no loan rate entered&gt;&quot;;0.00%"/>
    <numFmt numFmtId="180" formatCode="[=0]&quot;nil&quot;;#,##0.00\ &quot;x&quot;"/>
    <numFmt numFmtId="181" formatCode="[=0]&quot;&quot;;#,##0.00"/>
    <numFmt numFmtId="182" formatCode="[=0]&quot;&quot;;#,##0"/>
    <numFmt numFmtId="183" formatCode="&quot;$&quot;#,##0.00"/>
    <numFmt numFmtId="184" formatCode="[=0]&quot;&lt;enter income of borrower 1&gt;&quot;;#,##0.00"/>
  </numFmts>
  <fonts count="52" x14ac:knownFonts="1">
    <font>
      <sz val="10"/>
      <color theme="1" tint="0.24994659260841701"/>
      <name val="Calibri"/>
      <family val="2"/>
      <scheme val="minor"/>
    </font>
    <font>
      <sz val="10"/>
      <color theme="1" tint="0.24994659260841701"/>
      <name val="Century Gothic"/>
      <family val="2"/>
      <scheme val="major"/>
    </font>
    <font>
      <b/>
      <sz val="10"/>
      <color theme="1" tint="0.24994659260841701"/>
      <name val="Century Gothic"/>
      <family val="2"/>
      <scheme val="major"/>
    </font>
    <font>
      <sz val="22"/>
      <color theme="3" tint="0.24994659260841701"/>
      <name val="Century Gothic"/>
      <family val="2"/>
      <scheme val="major"/>
    </font>
    <font>
      <sz val="10"/>
      <color theme="1" tint="0.24994659260841701"/>
      <name val="Calibri"/>
      <family val="2"/>
      <scheme val="minor"/>
    </font>
    <font>
      <sz val="10"/>
      <color rgb="FF000000"/>
      <name val="Arial"/>
      <family val="2"/>
    </font>
    <font>
      <sz val="8"/>
      <name val="Arial"/>
      <family val="2"/>
    </font>
    <font>
      <b/>
      <sz val="10"/>
      <color rgb="FF000000"/>
      <name val="Arial"/>
      <family val="2"/>
    </font>
    <font>
      <sz val="10"/>
      <color theme="0"/>
      <name val="Arial"/>
      <family val="2"/>
    </font>
    <font>
      <sz val="12"/>
      <color rgb="FFFFFFFF"/>
      <name val="Arial"/>
      <family val="2"/>
    </font>
    <font>
      <sz val="10"/>
      <color rgb="FFFFFFFF"/>
      <name val="Arial"/>
      <family val="2"/>
    </font>
    <font>
      <sz val="10"/>
      <color rgb="FF0000FF"/>
      <name val="Arial"/>
      <family val="2"/>
    </font>
    <font>
      <u/>
      <sz val="8.5"/>
      <color theme="10"/>
      <name val="Arial"/>
      <family val="2"/>
    </font>
    <font>
      <u/>
      <sz val="8"/>
      <color theme="10"/>
      <name val="Arial"/>
      <family val="2"/>
    </font>
    <font>
      <sz val="8"/>
      <color rgb="FF0000FF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1"/>
      <color rgb="FF000000"/>
      <name val="Times New Roman"/>
      <family val="1"/>
    </font>
    <font>
      <b/>
      <sz val="10"/>
      <name val="Arial"/>
      <family val="2"/>
    </font>
    <font>
      <sz val="10"/>
      <color theme="0" tint="-0.14999847407452621"/>
      <name val="Arial"/>
      <family val="2"/>
    </font>
    <font>
      <sz val="16"/>
      <color theme="0"/>
      <name val="Arial"/>
      <family val="2"/>
    </font>
    <font>
      <sz val="10"/>
      <color rgb="FF000000"/>
      <name val="Verdana"/>
      <family val="2"/>
    </font>
    <font>
      <sz val="18"/>
      <color theme="0"/>
      <name val="Verdana"/>
      <family val="2"/>
    </font>
    <font>
      <sz val="20"/>
      <color theme="0"/>
      <name val="Verdana"/>
      <family val="2"/>
    </font>
    <font>
      <sz val="10"/>
      <color theme="1" tint="0.24994659260841701"/>
      <name val="Verdana"/>
      <family val="2"/>
    </font>
    <font>
      <sz val="8"/>
      <name val="Verdana"/>
      <family val="2"/>
    </font>
    <font>
      <b/>
      <sz val="10"/>
      <color rgb="FF366092"/>
      <name val="Verdana"/>
      <family val="2"/>
    </font>
    <font>
      <sz val="8"/>
      <color rgb="FF0000FF"/>
      <name val="Verdana"/>
      <family val="2"/>
    </font>
    <font>
      <sz val="10"/>
      <color rgb="FF366092"/>
      <name val="Verdana"/>
      <family val="2"/>
    </font>
    <font>
      <sz val="10"/>
      <name val="Verdana"/>
      <family val="2"/>
    </font>
    <font>
      <sz val="8"/>
      <color rgb="FF000000"/>
      <name val="Verdana"/>
      <family val="2"/>
    </font>
    <font>
      <b/>
      <sz val="10"/>
      <color rgb="FF000000"/>
      <name val="Verdana"/>
      <family val="2"/>
    </font>
    <font>
      <sz val="10"/>
      <color rgb="FFFF0000"/>
      <name val="Verdana"/>
      <family val="2"/>
    </font>
    <font>
      <sz val="12"/>
      <color rgb="FF000000"/>
      <name val="Verdana"/>
      <family val="2"/>
    </font>
    <font>
      <sz val="12"/>
      <color rgb="FFFFFFFF"/>
      <name val="Verdana"/>
      <family val="2"/>
    </font>
    <font>
      <sz val="12"/>
      <color theme="0"/>
      <name val="Verdana"/>
      <family val="2"/>
    </font>
    <font>
      <sz val="12"/>
      <color theme="1" tint="0.24994659260841701"/>
      <name val="Verdana"/>
      <family val="2"/>
    </font>
    <font>
      <sz val="12"/>
      <color rgb="FF0000FF"/>
      <name val="Verdana"/>
      <family val="2"/>
    </font>
    <font>
      <sz val="12"/>
      <name val="Verdana"/>
      <family val="2"/>
    </font>
    <font>
      <u/>
      <sz val="12"/>
      <color theme="10"/>
      <name val="Verdana"/>
      <family val="2"/>
    </font>
    <font>
      <b/>
      <sz val="10"/>
      <color theme="1" tint="0.24994659260841701"/>
      <name val="Calibri"/>
      <family val="2"/>
      <scheme val="minor"/>
    </font>
    <font>
      <sz val="8"/>
      <color theme="1" tint="0.24994659260841701"/>
      <name val="Verdana"/>
      <family val="2"/>
    </font>
    <font>
      <sz val="12"/>
      <color rgb="FF006ED2"/>
      <name val="Verdana"/>
      <family val="2"/>
    </font>
    <font>
      <sz val="8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8"/>
      <color rgb="FF0000FF"/>
      <name val="Calibri"/>
      <family val="2"/>
      <scheme val="minor"/>
    </font>
    <font>
      <sz val="8"/>
      <color rgb="FF000000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4"/>
      <color theme="1" tint="0.2499465926084170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366092"/>
        <bgColor rgb="FF366092"/>
      </patternFill>
    </fill>
    <fill>
      <patternFill patternType="solid">
        <fgColor rgb="FFDBE5F1"/>
        <bgColor rgb="FFDBE5F1"/>
      </patternFill>
    </fill>
    <fill>
      <patternFill patternType="solid">
        <fgColor rgb="FFFFFF99"/>
        <bgColor rgb="FFFFFF99"/>
      </patternFill>
    </fill>
    <fill>
      <patternFill patternType="solid">
        <fgColor rgb="FFD8D8D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366092"/>
      </patternFill>
    </fill>
    <fill>
      <patternFill patternType="solid">
        <fgColor theme="0"/>
        <bgColor rgb="FFFFFF99"/>
      </patternFill>
    </fill>
    <fill>
      <patternFill patternType="solid">
        <fgColor rgb="FF366092"/>
        <bgColor indexed="64"/>
      </patternFill>
    </fill>
    <fill>
      <patternFill patternType="solid">
        <fgColor rgb="FFDBE5F1"/>
        <bgColor rgb="FFFFFF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99"/>
      </patternFill>
    </fill>
    <fill>
      <patternFill patternType="solid">
        <fgColor rgb="FF006ED2"/>
        <bgColor rgb="FF366092"/>
      </patternFill>
    </fill>
    <fill>
      <patternFill patternType="solid">
        <fgColor rgb="FF006ED2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theme="4" tint="-0.2499465926084170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/>
      <right/>
      <top style="thin">
        <color theme="2" tint="-0.24994659260841701"/>
      </top>
      <bottom/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/>
      <bottom/>
      <diagonal/>
    </border>
    <border>
      <left/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/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1" applyNumberFormat="0" applyFill="0" applyAlignment="0" applyProtection="0"/>
    <xf numFmtId="0" fontId="1" fillId="0" borderId="2" applyNumberFormat="0" applyFill="0" applyBorder="0" applyAlignment="0" applyProtection="0"/>
    <xf numFmtId="0" fontId="2" fillId="0" borderId="3" applyNumberFormat="0" applyFill="0" applyBorder="0" applyAlignment="0" applyProtection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</cellStyleXfs>
  <cellXfs count="283">
    <xf numFmtId="0" fontId="0" fillId="0" borderId="0" xfId="0"/>
    <xf numFmtId="0" fontId="5" fillId="0" borderId="0" xfId="0" applyFont="1" applyFill="1" applyBorder="1"/>
    <xf numFmtId="0" fontId="6" fillId="0" borderId="0" xfId="0" applyFont="1"/>
    <xf numFmtId="0" fontId="7" fillId="0" borderId="0" xfId="0" applyFont="1" applyFill="1" applyBorder="1"/>
    <xf numFmtId="3" fontId="0" fillId="0" borderId="0" xfId="0" applyNumberFormat="1"/>
    <xf numFmtId="0" fontId="9" fillId="2" borderId="0" xfId="0" applyFont="1" applyFill="1" applyBorder="1" applyAlignment="1">
      <alignment horizontal="left" vertical="center"/>
    </xf>
    <xf numFmtId="0" fontId="10" fillId="2" borderId="0" xfId="0" applyFont="1" applyFill="1" applyBorder="1"/>
    <xf numFmtId="0" fontId="10" fillId="2" borderId="0" xfId="0" applyFont="1" applyFill="1" applyBorder="1" applyAlignment="1">
      <alignment horizontal="right" vertical="center"/>
    </xf>
    <xf numFmtId="0" fontId="11" fillId="3" borderId="0" xfId="0" applyFont="1" applyFill="1" applyBorder="1" applyAlignment="1">
      <alignment vertical="center"/>
    </xf>
    <xf numFmtId="0" fontId="13" fillId="0" borderId="0" xfId="5" applyFont="1" applyAlignment="1" applyProtection="1">
      <alignment horizontal="right"/>
    </xf>
    <xf numFmtId="3" fontId="0" fillId="0" borderId="0" xfId="0" applyNumberFormat="1" applyAlignment="1">
      <alignment horizontal="right"/>
    </xf>
    <xf numFmtId="0" fontId="5" fillId="4" borderId="0" xfId="0" applyFont="1" applyFill="1" applyBorder="1" applyAlignme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4" xfId="0" applyFont="1" applyBorder="1" applyAlignment="1">
      <alignment horizontal="left" indent="1"/>
    </xf>
    <xf numFmtId="3" fontId="14" fillId="0" borderId="5" xfId="0" applyNumberFormat="1" applyFont="1" applyBorder="1" applyAlignment="1">
      <alignment horizontal="right"/>
    </xf>
    <xf numFmtId="10" fontId="14" fillId="0" borderId="6" xfId="0" applyNumberFormat="1" applyFont="1" applyBorder="1"/>
    <xf numFmtId="0" fontId="5" fillId="0" borderId="0" xfId="0" applyFont="1" applyFill="1" applyBorder="1" applyAlignment="1"/>
    <xf numFmtId="4" fontId="0" fillId="0" borderId="0" xfId="0" applyNumberFormat="1"/>
    <xf numFmtId="0" fontId="6" fillId="0" borderId="4" xfId="0" applyFont="1" applyBorder="1" applyAlignment="1">
      <alignment horizontal="center"/>
    </xf>
    <xf numFmtId="3" fontId="14" fillId="5" borderId="5" xfId="0" applyNumberFormat="1" applyFont="1" applyFill="1" applyBorder="1" applyAlignment="1">
      <alignment horizontal="center"/>
    </xf>
    <xf numFmtId="10" fontId="14" fillId="0" borderId="6" xfId="0" applyNumberFormat="1" applyFont="1" applyBorder="1" applyAlignment="1">
      <alignment horizontal="right"/>
    </xf>
    <xf numFmtId="0" fontId="6" fillId="0" borderId="7" xfId="0" applyFont="1" applyBorder="1" applyAlignment="1">
      <alignment horizontal="left" indent="1"/>
    </xf>
    <xf numFmtId="3" fontId="14" fillId="0" borderId="8" xfId="0" applyNumberFormat="1" applyFont="1" applyBorder="1" applyAlignment="1">
      <alignment horizontal="right"/>
    </xf>
    <xf numFmtId="10" fontId="14" fillId="0" borderId="9" xfId="0" applyNumberFormat="1" applyFont="1" applyBorder="1"/>
    <xf numFmtId="3" fontId="6" fillId="0" borderId="10" xfId="0" applyNumberFormat="1" applyFont="1" applyBorder="1" applyAlignment="1">
      <alignment horizontal="center"/>
    </xf>
    <xf numFmtId="3" fontId="14" fillId="5" borderId="0" xfId="0" applyNumberFormat="1" applyFont="1" applyFill="1" applyBorder="1" applyAlignment="1">
      <alignment horizontal="center"/>
    </xf>
    <xf numFmtId="10" fontId="14" fillId="0" borderId="11" xfId="0" applyNumberFormat="1" applyFont="1" applyBorder="1" applyAlignment="1">
      <alignment horizontal="right"/>
    </xf>
    <xf numFmtId="0" fontId="14" fillId="0" borderId="12" xfId="0" applyFont="1" applyBorder="1"/>
    <xf numFmtId="3" fontId="6" fillId="0" borderId="7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10" fontId="14" fillId="0" borderId="9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10" fontId="14" fillId="0" borderId="13" xfId="0" applyNumberFormat="1" applyFont="1" applyBorder="1" applyAlignment="1">
      <alignment horizontal="right"/>
    </xf>
    <xf numFmtId="10" fontId="14" fillId="0" borderId="14" xfId="0" applyNumberFormat="1" applyFont="1" applyBorder="1" applyAlignment="1">
      <alignment horizontal="right"/>
    </xf>
    <xf numFmtId="0" fontId="6" fillId="0" borderId="0" xfId="0" applyFont="1" applyBorder="1"/>
    <xf numFmtId="10" fontId="14" fillId="0" borderId="15" xfId="0" applyNumberFormat="1" applyFont="1" applyBorder="1" applyAlignment="1">
      <alignment horizontal="right"/>
    </xf>
    <xf numFmtId="0" fontId="10" fillId="2" borderId="0" xfId="0" applyFont="1" applyFill="1" applyBorder="1" applyAlignment="1">
      <alignment horizontal="right"/>
    </xf>
    <xf numFmtId="0" fontId="0" fillId="0" borderId="0" xfId="0" applyBorder="1"/>
    <xf numFmtId="0" fontId="15" fillId="0" borderId="0" xfId="0" applyFont="1"/>
    <xf numFmtId="1" fontId="6" fillId="0" borderId="16" xfId="0" applyNumberFormat="1" applyFont="1" applyBorder="1"/>
    <xf numFmtId="1" fontId="14" fillId="0" borderId="17" xfId="0" applyNumberFormat="1" applyFont="1" applyBorder="1"/>
    <xf numFmtId="0" fontId="17" fillId="6" borderId="0" xfId="0" applyFont="1" applyFill="1" applyBorder="1"/>
    <xf numFmtId="174" fontId="18" fillId="0" borderId="0" xfId="4" applyNumberFormat="1" applyFont="1" applyBorder="1" applyAlignment="1">
      <alignment horizontal="center"/>
    </xf>
    <xf numFmtId="10" fontId="5" fillId="4" borderId="0" xfId="0" applyNumberFormat="1" applyFont="1" applyFill="1" applyBorder="1" applyAlignment="1">
      <alignment horizontal="right"/>
    </xf>
    <xf numFmtId="165" fontId="0" fillId="0" borderId="0" xfId="0" applyNumberFormat="1"/>
    <xf numFmtId="4" fontId="5" fillId="0" borderId="0" xfId="0" applyNumberFormat="1" applyFont="1" applyFill="1" applyBorder="1"/>
    <xf numFmtId="4" fontId="7" fillId="0" borderId="0" xfId="0" applyNumberFormat="1" applyFont="1" applyFill="1" applyBorder="1"/>
    <xf numFmtId="10" fontId="5" fillId="4" borderId="0" xfId="0" applyNumberFormat="1" applyFont="1" applyFill="1" applyBorder="1"/>
    <xf numFmtId="4" fontId="0" fillId="0" borderId="0" xfId="0" quotePrefix="1" applyNumberFormat="1"/>
    <xf numFmtId="0" fontId="5" fillId="7" borderId="0" xfId="0" applyFont="1" applyFill="1" applyBorder="1"/>
    <xf numFmtId="0" fontId="5" fillId="7" borderId="0" xfId="0" applyFont="1" applyFill="1" applyBorder="1" applyAlignment="1">
      <alignment horizontal="left"/>
    </xf>
    <xf numFmtId="0" fontId="0" fillId="7" borderId="0" xfId="0" applyFill="1"/>
    <xf numFmtId="0" fontId="10" fillId="8" borderId="0" xfId="0" applyFont="1" applyFill="1" applyBorder="1"/>
    <xf numFmtId="4" fontId="5" fillId="7" borderId="0" xfId="0" applyNumberFormat="1" applyFont="1" applyFill="1" applyBorder="1" applyAlignment="1">
      <alignment horizontal="right"/>
    </xf>
    <xf numFmtId="4" fontId="0" fillId="7" borderId="0" xfId="0" applyNumberFormat="1" applyFill="1" applyAlignment="1">
      <alignment horizontal="right"/>
    </xf>
    <xf numFmtId="3" fontId="5" fillId="7" borderId="0" xfId="0" applyNumberFormat="1" applyFont="1" applyFill="1" applyBorder="1" applyAlignment="1">
      <alignment horizontal="right"/>
    </xf>
    <xf numFmtId="4" fontId="5" fillId="7" borderId="0" xfId="0" applyNumberFormat="1" applyFont="1" applyFill="1" applyBorder="1"/>
    <xf numFmtId="0" fontId="15" fillId="7" borderId="0" xfId="0" applyFont="1" applyFill="1" applyBorder="1" applyAlignment="1">
      <alignment horizontal="left"/>
    </xf>
    <xf numFmtId="0" fontId="5" fillId="7" borderId="0" xfId="0" applyFont="1" applyFill="1" applyBorder="1" applyAlignment="1">
      <alignment horizontal="right" vertical="center"/>
    </xf>
    <xf numFmtId="0" fontId="15" fillId="7" borderId="0" xfId="0" applyFont="1" applyFill="1" applyBorder="1" applyAlignment="1">
      <alignment horizontal="right" vertical="center"/>
    </xf>
    <xf numFmtId="0" fontId="7" fillId="7" borderId="0" xfId="0" applyFont="1" applyFill="1" applyBorder="1" applyAlignment="1">
      <alignment horizontal="right" vertical="center"/>
    </xf>
    <xf numFmtId="0" fontId="5" fillId="7" borderId="0" xfId="0" applyFont="1" applyFill="1" applyBorder="1" applyAlignment="1">
      <alignment horizontal="right" vertical="center" indent="1"/>
    </xf>
    <xf numFmtId="0" fontId="5" fillId="7" borderId="0" xfId="0" applyFont="1" applyFill="1" applyBorder="1" applyAlignment="1"/>
    <xf numFmtId="3" fontId="5" fillId="4" borderId="12" xfId="0" applyNumberFormat="1" applyFont="1" applyFill="1" applyBorder="1" applyAlignment="1">
      <alignment horizontal="right"/>
    </xf>
    <xf numFmtId="0" fontId="5" fillId="7" borderId="0" xfId="0" applyFont="1" applyFill="1" applyBorder="1" applyAlignment="1">
      <alignment horizontal="right"/>
    </xf>
    <xf numFmtId="0" fontId="0" fillId="7" borderId="0" xfId="0" applyFill="1" applyBorder="1"/>
    <xf numFmtId="3" fontId="5" fillId="0" borderId="12" xfId="0" applyNumberFormat="1" applyFont="1" applyFill="1" applyBorder="1" applyAlignment="1">
      <alignment horizontal="right"/>
    </xf>
    <xf numFmtId="0" fontId="9" fillId="2" borderId="0" xfId="0" applyFont="1" applyFill="1" applyBorder="1"/>
    <xf numFmtId="3" fontId="11" fillId="3" borderId="12" xfId="0" applyNumberFormat="1" applyFont="1" applyFill="1" applyBorder="1" applyAlignment="1" applyProtection="1">
      <alignment horizontal="right"/>
      <protection locked="0"/>
    </xf>
    <xf numFmtId="172" fontId="11" fillId="3" borderId="12" xfId="0" applyNumberFormat="1" applyFont="1" applyFill="1" applyBorder="1" applyAlignment="1" applyProtection="1">
      <alignment horizontal="right"/>
      <protection locked="0"/>
    </xf>
    <xf numFmtId="173" fontId="11" fillId="3" borderId="12" xfId="0" applyNumberFormat="1" applyFont="1" applyFill="1" applyBorder="1" applyAlignment="1" applyProtection="1">
      <alignment horizontal="right"/>
      <protection locked="0"/>
    </xf>
    <xf numFmtId="0" fontId="16" fillId="7" borderId="0" xfId="0" quotePrefix="1" applyFont="1" applyFill="1"/>
    <xf numFmtId="3" fontId="7" fillId="4" borderId="12" xfId="0" applyNumberFormat="1" applyFont="1" applyFill="1" applyBorder="1" applyAlignment="1">
      <alignment horizontal="right"/>
    </xf>
    <xf numFmtId="0" fontId="15" fillId="7" borderId="0" xfId="0" applyFont="1" applyFill="1" applyBorder="1" applyAlignment="1">
      <alignment horizontal="right"/>
    </xf>
    <xf numFmtId="0" fontId="11" fillId="3" borderId="12" xfId="0" applyFont="1" applyFill="1" applyBorder="1" applyAlignment="1" applyProtection="1">
      <alignment horizontal="right"/>
      <protection locked="0"/>
    </xf>
    <xf numFmtId="175" fontId="11" fillId="3" borderId="12" xfId="0" applyNumberFormat="1" applyFont="1" applyFill="1" applyBorder="1" applyAlignment="1" applyProtection="1">
      <alignment horizontal="right"/>
      <protection locked="0"/>
    </xf>
    <xf numFmtId="176" fontId="11" fillId="3" borderId="12" xfId="0" applyNumberFormat="1" applyFont="1" applyFill="1" applyBorder="1" applyAlignment="1" applyProtection="1">
      <alignment horizontal="right"/>
      <protection locked="0"/>
    </xf>
    <xf numFmtId="177" fontId="11" fillId="3" borderId="12" xfId="0" applyNumberFormat="1" applyFont="1" applyFill="1" applyBorder="1" applyAlignment="1" applyProtection="1">
      <alignment horizontal="right"/>
      <protection locked="0"/>
    </xf>
    <xf numFmtId="178" fontId="5" fillId="4" borderId="12" xfId="0" applyNumberFormat="1" applyFont="1" applyFill="1" applyBorder="1" applyAlignment="1">
      <alignment horizontal="right"/>
    </xf>
    <xf numFmtId="10" fontId="5" fillId="4" borderId="12" xfId="0" applyNumberFormat="1" applyFont="1" applyFill="1" applyBorder="1" applyAlignment="1">
      <alignment horizontal="right"/>
    </xf>
    <xf numFmtId="3" fontId="5" fillId="9" borderId="0" xfId="0" applyNumberFormat="1" applyFont="1" applyFill="1" applyBorder="1" applyAlignment="1">
      <alignment horizontal="right"/>
    </xf>
    <xf numFmtId="180" fontId="5" fillId="7" borderId="0" xfId="0" applyNumberFormat="1" applyFont="1" applyFill="1" applyBorder="1"/>
    <xf numFmtId="180" fontId="5" fillId="7" borderId="0" xfId="0" applyNumberFormat="1" applyFont="1" applyFill="1" applyBorder="1" applyAlignment="1">
      <alignment horizontal="center"/>
    </xf>
    <xf numFmtId="10" fontId="20" fillId="7" borderId="0" xfId="0" applyNumberFormat="1" applyFont="1" applyFill="1"/>
    <xf numFmtId="4" fontId="11" fillId="3" borderId="12" xfId="0" applyNumberFormat="1" applyFont="1" applyFill="1" applyBorder="1" applyAlignment="1" applyProtection="1">
      <alignment horizontal="right"/>
      <protection locked="0"/>
    </xf>
    <xf numFmtId="9" fontId="11" fillId="0" borderId="12" xfId="0" applyNumberFormat="1" applyFont="1" applyBorder="1" applyProtection="1">
      <protection locked="0"/>
    </xf>
    <xf numFmtId="4" fontId="19" fillId="0" borderId="12" xfId="0" applyNumberFormat="1" applyFont="1" applyBorder="1" applyAlignment="1">
      <alignment horizontal="right"/>
    </xf>
    <xf numFmtId="0" fontId="6" fillId="7" borderId="0" xfId="0" applyFont="1" applyFill="1" applyBorder="1"/>
    <xf numFmtId="0" fontId="8" fillId="2" borderId="0" xfId="0" applyFont="1" applyFill="1" applyBorder="1" applyAlignment="1">
      <alignment horizontal="right" vertical="center"/>
    </xf>
    <xf numFmtId="166" fontId="11" fillId="3" borderId="12" xfId="0" applyNumberFormat="1" applyFont="1" applyFill="1" applyBorder="1" applyAlignment="1" applyProtection="1">
      <alignment horizontal="right"/>
      <protection locked="0"/>
    </xf>
    <xf numFmtId="4" fontId="5" fillId="4" borderId="12" xfId="0" applyNumberFormat="1" applyFont="1" applyFill="1" applyBorder="1" applyAlignment="1">
      <alignment horizontal="right"/>
    </xf>
    <xf numFmtId="167" fontId="11" fillId="3" borderId="12" xfId="0" applyNumberFormat="1" applyFont="1" applyFill="1" applyBorder="1" applyAlignment="1" applyProtection="1">
      <alignment horizontal="right"/>
      <protection locked="0"/>
    </xf>
    <xf numFmtId="168" fontId="11" fillId="3" borderId="12" xfId="0" applyNumberFormat="1" applyFont="1" applyFill="1" applyBorder="1" applyAlignment="1" applyProtection="1">
      <alignment horizontal="right"/>
      <protection locked="0"/>
    </xf>
    <xf numFmtId="169" fontId="11" fillId="3" borderId="12" xfId="0" applyNumberFormat="1" applyFont="1" applyFill="1" applyBorder="1" applyAlignment="1" applyProtection="1">
      <alignment horizontal="right"/>
      <protection locked="0"/>
    </xf>
    <xf numFmtId="170" fontId="11" fillId="3" borderId="12" xfId="0" applyNumberFormat="1" applyFont="1" applyFill="1" applyBorder="1" applyAlignment="1" applyProtection="1">
      <alignment horizontal="right"/>
      <protection locked="0"/>
    </xf>
    <xf numFmtId="171" fontId="11" fillId="3" borderId="12" xfId="0" applyNumberFormat="1" applyFont="1" applyFill="1" applyBorder="1" applyAlignment="1" applyProtection="1">
      <alignment horizontal="right"/>
      <protection locked="0"/>
    </xf>
    <xf numFmtId="3" fontId="5" fillId="4" borderId="12" xfId="0" applyNumberFormat="1" applyFont="1" applyFill="1" applyBorder="1" applyAlignment="1"/>
    <xf numFmtId="3" fontId="5" fillId="9" borderId="0" xfId="0" applyNumberFormat="1" applyFont="1" applyFill="1" applyBorder="1" applyAlignment="1"/>
    <xf numFmtId="179" fontId="11" fillId="3" borderId="12" xfId="0" applyNumberFormat="1" applyFont="1" applyFill="1" applyBorder="1" applyAlignment="1" applyProtection="1">
      <protection locked="0"/>
    </xf>
    <xf numFmtId="0" fontId="0" fillId="7" borderId="0" xfId="0" applyFill="1" applyAlignment="1">
      <alignment horizontal="right" vertical="center"/>
    </xf>
    <xf numFmtId="0" fontId="0" fillId="7" borderId="0" xfId="0" applyFill="1" applyAlignment="1">
      <alignment horizontal="right" vertical="center" indent="1"/>
    </xf>
    <xf numFmtId="0" fontId="22" fillId="7" borderId="0" xfId="0" applyFont="1" applyFill="1" applyBorder="1"/>
    <xf numFmtId="0" fontId="25" fillId="7" borderId="0" xfId="0" applyFont="1" applyFill="1"/>
    <xf numFmtId="0" fontId="26" fillId="7" borderId="0" xfId="0" applyFont="1" applyFill="1"/>
    <xf numFmtId="0" fontId="26" fillId="0" borderId="0" xfId="0" applyFont="1"/>
    <xf numFmtId="0" fontId="25" fillId="0" borderId="0" xfId="0" applyFont="1"/>
    <xf numFmtId="0" fontId="25" fillId="0" borderId="0" xfId="0" applyFont="1" applyFill="1"/>
    <xf numFmtId="3" fontId="27" fillId="7" borderId="0" xfId="0" applyNumberFormat="1" applyFont="1" applyFill="1" applyBorder="1" applyAlignment="1">
      <alignment horizontal="right"/>
    </xf>
    <xf numFmtId="0" fontId="22" fillId="0" borderId="0" xfId="0" applyFont="1" applyFill="1" applyBorder="1" applyAlignment="1"/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6" fillId="0" borderId="4" xfId="0" applyFont="1" applyBorder="1" applyAlignment="1">
      <alignment horizontal="left" indent="1"/>
    </xf>
    <xf numFmtId="3" fontId="28" fillId="0" borderId="5" xfId="0" applyNumberFormat="1" applyFont="1" applyBorder="1" applyAlignment="1">
      <alignment horizontal="right"/>
    </xf>
    <xf numFmtId="10" fontId="28" fillId="0" borderId="6" xfId="0" applyNumberFormat="1" applyFont="1" applyBorder="1"/>
    <xf numFmtId="0" fontId="29" fillId="7" borderId="0" xfId="0" applyFont="1" applyFill="1" applyBorder="1" applyAlignment="1">
      <alignment horizontal="right" vertical="center"/>
    </xf>
    <xf numFmtId="4" fontId="25" fillId="0" borderId="0" xfId="0" applyNumberFormat="1" applyFont="1" applyFill="1"/>
    <xf numFmtId="0" fontId="26" fillId="0" borderId="4" xfId="0" applyFont="1" applyBorder="1" applyAlignment="1">
      <alignment horizontal="center"/>
    </xf>
    <xf numFmtId="3" fontId="28" fillId="5" borderId="5" xfId="0" applyNumberFormat="1" applyFont="1" applyFill="1" applyBorder="1" applyAlignment="1">
      <alignment horizontal="center"/>
    </xf>
    <xf numFmtId="10" fontId="28" fillId="0" borderId="6" xfId="0" applyNumberFormat="1" applyFont="1" applyBorder="1" applyAlignment="1">
      <alignment horizontal="right"/>
    </xf>
    <xf numFmtId="0" fontId="26" fillId="0" borderId="7" xfId="0" applyFont="1" applyBorder="1" applyAlignment="1">
      <alignment horizontal="left" indent="1"/>
    </xf>
    <xf numFmtId="3" fontId="28" fillId="0" borderId="8" xfId="0" applyNumberFormat="1" applyFont="1" applyBorder="1" applyAlignment="1">
      <alignment horizontal="right"/>
    </xf>
    <xf numFmtId="10" fontId="28" fillId="0" borderId="9" xfId="0" applyNumberFormat="1" applyFont="1" applyBorder="1"/>
    <xf numFmtId="3" fontId="26" fillId="0" borderId="10" xfId="0" applyNumberFormat="1" applyFont="1" applyBorder="1" applyAlignment="1">
      <alignment horizontal="center"/>
    </xf>
    <xf numFmtId="3" fontId="28" fillId="5" borderId="0" xfId="0" applyNumberFormat="1" applyFont="1" applyFill="1" applyBorder="1" applyAlignment="1">
      <alignment horizontal="center"/>
    </xf>
    <xf numFmtId="10" fontId="28" fillId="0" borderId="11" xfId="0" applyNumberFormat="1" applyFont="1" applyBorder="1" applyAlignment="1">
      <alignment horizontal="right"/>
    </xf>
    <xf numFmtId="0" fontId="25" fillId="7" borderId="0" xfId="0" applyFont="1" applyFill="1" applyBorder="1"/>
    <xf numFmtId="0" fontId="28" fillId="0" borderId="12" xfId="0" applyFont="1" applyBorder="1"/>
    <xf numFmtId="4" fontId="25" fillId="0" borderId="0" xfId="0" applyNumberFormat="1" applyFont="1"/>
    <xf numFmtId="3" fontId="26" fillId="0" borderId="7" xfId="0" applyNumberFormat="1" applyFont="1" applyBorder="1" applyAlignment="1">
      <alignment horizontal="center"/>
    </xf>
    <xf numFmtId="0" fontId="26" fillId="0" borderId="8" xfId="0" applyFont="1" applyBorder="1" applyAlignment="1">
      <alignment horizontal="center"/>
    </xf>
    <xf numFmtId="10" fontId="28" fillId="0" borderId="9" xfId="0" applyNumberFormat="1" applyFont="1" applyBorder="1" applyAlignment="1">
      <alignment horizontal="right"/>
    </xf>
    <xf numFmtId="0" fontId="26" fillId="0" borderId="0" xfId="0" applyFont="1" applyAlignment="1">
      <alignment horizontal="left"/>
    </xf>
    <xf numFmtId="3" fontId="25" fillId="0" borderId="0" xfId="0" applyNumberFormat="1" applyFont="1" applyAlignment="1">
      <alignment horizontal="right"/>
    </xf>
    <xf numFmtId="0" fontId="27" fillId="7" borderId="0" xfId="0" applyFont="1" applyFill="1" applyBorder="1" applyAlignment="1">
      <alignment horizontal="right" vertical="center"/>
    </xf>
    <xf numFmtId="10" fontId="28" fillId="0" borderId="13" xfId="0" applyNumberFormat="1" applyFont="1" applyBorder="1" applyAlignment="1">
      <alignment horizontal="right"/>
    </xf>
    <xf numFmtId="0" fontId="22" fillId="7" borderId="0" xfId="0" applyFont="1" applyFill="1" applyBorder="1" applyAlignment="1">
      <alignment horizontal="right" vertical="center"/>
    </xf>
    <xf numFmtId="10" fontId="28" fillId="0" borderId="14" xfId="0" applyNumberFormat="1" applyFont="1" applyBorder="1" applyAlignment="1">
      <alignment horizontal="right"/>
    </xf>
    <xf numFmtId="0" fontId="22" fillId="7" borderId="0" xfId="0" applyFont="1" applyFill="1" applyBorder="1" applyAlignment="1"/>
    <xf numFmtId="3" fontId="22" fillId="7" borderId="0" xfId="0" applyNumberFormat="1" applyFont="1" applyFill="1" applyBorder="1" applyAlignment="1">
      <alignment horizontal="right"/>
    </xf>
    <xf numFmtId="0" fontId="26" fillId="0" borderId="0" xfId="0" applyFont="1" applyBorder="1"/>
    <xf numFmtId="10" fontId="28" fillId="0" borderId="15" xfId="0" applyNumberFormat="1" applyFont="1" applyBorder="1" applyAlignment="1">
      <alignment horizontal="right"/>
    </xf>
    <xf numFmtId="3" fontId="25" fillId="0" borderId="0" xfId="0" applyNumberFormat="1" applyFont="1"/>
    <xf numFmtId="0" fontId="31" fillId="5" borderId="4" xfId="0" applyFont="1" applyFill="1" applyBorder="1" applyAlignment="1">
      <alignment horizontal="right" vertical="top"/>
    </xf>
    <xf numFmtId="0" fontId="31" fillId="5" borderId="5" xfId="0" applyFont="1" applyFill="1" applyBorder="1" applyAlignment="1">
      <alignment horizontal="right" vertical="top"/>
    </xf>
    <xf numFmtId="0" fontId="31" fillId="5" borderId="6" xfId="0" applyFont="1" applyFill="1" applyBorder="1" applyAlignment="1">
      <alignment horizontal="right" vertical="top"/>
    </xf>
    <xf numFmtId="0" fontId="26" fillId="0" borderId="10" xfId="0" applyFont="1" applyBorder="1" applyAlignment="1">
      <alignment horizontal="right"/>
    </xf>
    <xf numFmtId="1" fontId="28" fillId="0" borderId="0" xfId="0" applyNumberFormat="1" applyFont="1" applyBorder="1" applyAlignment="1">
      <alignment horizontal="right"/>
    </xf>
    <xf numFmtId="1" fontId="28" fillId="0" borderId="11" xfId="0" applyNumberFormat="1" applyFont="1" applyBorder="1" applyAlignment="1">
      <alignment horizontal="right"/>
    </xf>
    <xf numFmtId="0" fontId="25" fillId="0" borderId="0" xfId="0" applyFont="1" applyBorder="1"/>
    <xf numFmtId="3" fontId="26" fillId="0" borderId="10" xfId="0" applyNumberFormat="1" applyFont="1" applyBorder="1" applyAlignment="1">
      <alignment horizontal="right"/>
    </xf>
    <xf numFmtId="0" fontId="29" fillId="7" borderId="0" xfId="0" applyFont="1" applyFill="1" applyBorder="1" applyAlignment="1">
      <alignment vertical="center"/>
    </xf>
    <xf numFmtId="3" fontId="26" fillId="0" borderId="7" xfId="0" applyNumberFormat="1" applyFont="1" applyBorder="1" applyAlignment="1">
      <alignment horizontal="right"/>
    </xf>
    <xf numFmtId="0" fontId="30" fillId="7" borderId="0" xfId="0" applyFont="1" applyFill="1"/>
    <xf numFmtId="3" fontId="25" fillId="0" borderId="0" xfId="0" applyNumberFormat="1" applyFont="1" applyFill="1"/>
    <xf numFmtId="0" fontId="31" fillId="5" borderId="0" xfId="0" applyFont="1" applyFill="1" applyBorder="1" applyAlignment="1">
      <alignment horizontal="left" indent="1"/>
    </xf>
    <xf numFmtId="1" fontId="26" fillId="0" borderId="16" xfId="0" applyNumberFormat="1" applyFont="1" applyBorder="1"/>
    <xf numFmtId="1" fontId="28" fillId="0" borderId="17" xfId="0" applyNumberFormat="1" applyFont="1" applyBorder="1"/>
    <xf numFmtId="0" fontId="22" fillId="7" borderId="0" xfId="0" applyFont="1" applyFill="1" applyBorder="1" applyAlignment="1">
      <alignment horizontal="right"/>
    </xf>
    <xf numFmtId="3" fontId="22" fillId="0" borderId="0" xfId="0" applyNumberFormat="1" applyFont="1" applyFill="1" applyBorder="1" applyAlignment="1">
      <alignment horizontal="right"/>
    </xf>
    <xf numFmtId="0" fontId="29" fillId="7" borderId="0" xfId="0" quotePrefix="1" applyFont="1" applyFill="1" applyBorder="1" applyAlignment="1">
      <alignment vertical="center"/>
    </xf>
    <xf numFmtId="0" fontId="25" fillId="7" borderId="0" xfId="0" applyFont="1" applyFill="1" applyAlignment="1">
      <alignment horizontal="right" vertical="center"/>
    </xf>
    <xf numFmtId="0" fontId="25" fillId="7" borderId="0" xfId="0" applyFont="1" applyFill="1" applyBorder="1" applyAlignment="1">
      <alignment horizontal="right" vertical="center"/>
    </xf>
    <xf numFmtId="0" fontId="29" fillId="0" borderId="0" xfId="0" applyFont="1" applyFill="1" applyBorder="1" applyAlignment="1">
      <alignment vertical="center"/>
    </xf>
    <xf numFmtId="4" fontId="22" fillId="7" borderId="0" xfId="0" applyNumberFormat="1" applyFont="1" applyFill="1" applyBorder="1"/>
    <xf numFmtId="0" fontId="22" fillId="7" borderId="0" xfId="0" applyFont="1" applyFill="1" applyBorder="1" applyAlignment="1">
      <alignment vertical="center"/>
    </xf>
    <xf numFmtId="180" fontId="22" fillId="7" borderId="0" xfId="0" applyNumberFormat="1" applyFont="1" applyFill="1" applyBorder="1"/>
    <xf numFmtId="180" fontId="22" fillId="7" borderId="0" xfId="0" applyNumberFormat="1" applyFont="1" applyFill="1" applyBorder="1" applyAlignment="1">
      <alignment horizontal="center" vertical="center"/>
    </xf>
    <xf numFmtId="0" fontId="33" fillId="0" borderId="0" xfId="0" applyFont="1" applyFill="1"/>
    <xf numFmtId="0" fontId="26" fillId="0" borderId="0" xfId="0" applyFont="1" applyFill="1"/>
    <xf numFmtId="0" fontId="25" fillId="7" borderId="0" xfId="0" applyFont="1" applyFill="1" applyAlignment="1">
      <alignment horizontal="left" vertical="center"/>
    </xf>
    <xf numFmtId="0" fontId="34" fillId="7" borderId="0" xfId="0" applyFont="1" applyFill="1" applyBorder="1"/>
    <xf numFmtId="0" fontId="37" fillId="7" borderId="0" xfId="0" applyFont="1" applyFill="1"/>
    <xf numFmtId="0" fontId="38" fillId="0" borderId="0" xfId="0" applyFont="1" applyFill="1" applyBorder="1" applyAlignment="1">
      <alignment vertical="center"/>
    </xf>
    <xf numFmtId="0" fontId="37" fillId="0" borderId="0" xfId="0" applyFont="1" applyFill="1"/>
    <xf numFmtId="0" fontId="37" fillId="0" borderId="0" xfId="0" applyFont="1"/>
    <xf numFmtId="0" fontId="39" fillId="0" borderId="0" xfId="0" applyFont="1"/>
    <xf numFmtId="0" fontId="40" fillId="0" borderId="0" xfId="5" applyFont="1" applyAlignment="1" applyProtection="1">
      <alignment horizontal="right"/>
    </xf>
    <xf numFmtId="3" fontId="37" fillId="0" borderId="0" xfId="0" applyNumberFormat="1" applyFont="1" applyAlignment="1">
      <alignment horizontal="right"/>
    </xf>
    <xf numFmtId="4" fontId="37" fillId="0" borderId="0" xfId="0" applyNumberFormat="1" applyFont="1"/>
    <xf numFmtId="0" fontId="39" fillId="0" borderId="0" xfId="0" applyFont="1" applyBorder="1"/>
    <xf numFmtId="0" fontId="37" fillId="0" borderId="0" xfId="0" applyFont="1" applyBorder="1"/>
    <xf numFmtId="183" fontId="0" fillId="0" borderId="0" xfId="4" applyNumberFormat="1" applyFont="1"/>
    <xf numFmtId="3" fontId="19" fillId="3" borderId="12" xfId="0" applyNumberFormat="1" applyFont="1" applyFill="1" applyBorder="1" applyAlignment="1" applyProtection="1">
      <alignment horizontal="right"/>
      <protection locked="0"/>
    </xf>
    <xf numFmtId="0" fontId="26" fillId="0" borderId="14" xfId="0" applyFont="1" applyBorder="1"/>
    <xf numFmtId="0" fontId="42" fillId="12" borderId="13" xfId="0" applyFont="1" applyFill="1" applyBorder="1"/>
    <xf numFmtId="0" fontId="23" fillId="7" borderId="0" xfId="0" applyFont="1" applyFill="1" applyBorder="1" applyAlignment="1">
      <alignment vertical="center"/>
    </xf>
    <xf numFmtId="0" fontId="22" fillId="7" borderId="0" xfId="0" applyFont="1" applyFill="1" applyBorder="1" applyAlignment="1">
      <alignment horizontal="left"/>
    </xf>
    <xf numFmtId="0" fontId="29" fillId="7" borderId="0" xfId="0" applyFont="1" applyFill="1" applyBorder="1" applyAlignment="1">
      <alignment horizontal="left" vertical="center"/>
    </xf>
    <xf numFmtId="3" fontId="29" fillId="9" borderId="0" xfId="0" applyNumberFormat="1" applyFont="1" applyFill="1" applyBorder="1" applyAlignment="1">
      <alignment horizontal="right" vertical="center"/>
    </xf>
    <xf numFmtId="0" fontId="22" fillId="0" borderId="0" xfId="0" applyFont="1" applyFill="1" applyBorder="1"/>
    <xf numFmtId="0" fontId="22" fillId="7" borderId="0" xfId="0" applyFont="1" applyFill="1" applyBorder="1" applyAlignment="1">
      <alignment horizontal="center"/>
    </xf>
    <xf numFmtId="181" fontId="29" fillId="13" borderId="18" xfId="0" applyNumberFormat="1" applyFont="1" applyFill="1" applyBorder="1" applyAlignment="1">
      <alignment horizontal="right" vertical="center"/>
    </xf>
    <xf numFmtId="166" fontId="29" fillId="3" borderId="18" xfId="0" applyNumberFormat="1" applyFont="1" applyFill="1" applyBorder="1" applyAlignment="1" applyProtection="1">
      <alignment horizontal="right" vertical="center"/>
      <protection locked="0"/>
    </xf>
    <xf numFmtId="167" fontId="29" fillId="3" borderId="18" xfId="0" applyNumberFormat="1" applyFont="1" applyFill="1" applyBorder="1" applyAlignment="1" applyProtection="1">
      <alignment horizontal="right" vertical="center"/>
      <protection locked="0"/>
    </xf>
    <xf numFmtId="168" fontId="29" fillId="3" borderId="18" xfId="0" applyNumberFormat="1" applyFont="1" applyFill="1" applyBorder="1" applyAlignment="1" applyProtection="1">
      <alignment horizontal="right" vertical="center"/>
      <protection locked="0"/>
    </xf>
    <xf numFmtId="169" fontId="29" fillId="3" borderId="18" xfId="0" applyNumberFormat="1" applyFont="1" applyFill="1" applyBorder="1" applyAlignment="1" applyProtection="1">
      <alignment horizontal="right" vertical="center"/>
      <protection locked="0"/>
    </xf>
    <xf numFmtId="170" fontId="29" fillId="3" borderId="18" xfId="0" applyNumberFormat="1" applyFont="1" applyFill="1" applyBorder="1" applyAlignment="1" applyProtection="1">
      <alignment horizontal="right" vertical="center"/>
      <protection locked="0"/>
    </xf>
    <xf numFmtId="171" fontId="29" fillId="3" borderId="19" xfId="0" applyNumberFormat="1" applyFont="1" applyFill="1" applyBorder="1" applyAlignment="1" applyProtection="1">
      <alignment horizontal="right" vertical="center"/>
      <protection locked="0"/>
    </xf>
    <xf numFmtId="181" fontId="29" fillId="13" borderId="19" xfId="0" applyNumberFormat="1" applyFont="1" applyFill="1" applyBorder="1" applyAlignment="1">
      <alignment horizontal="right" vertical="center"/>
    </xf>
    <xf numFmtId="3" fontId="29" fillId="13" borderId="18" xfId="0" applyNumberFormat="1" applyFont="1" applyFill="1" applyBorder="1" applyAlignment="1">
      <alignment horizontal="right" vertical="center"/>
    </xf>
    <xf numFmtId="3" fontId="27" fillId="13" borderId="18" xfId="0" applyNumberFormat="1" applyFont="1" applyFill="1" applyBorder="1" applyAlignment="1">
      <alignment horizontal="right" vertical="center"/>
    </xf>
    <xf numFmtId="178" fontId="29" fillId="13" borderId="18" xfId="0" applyNumberFormat="1" applyFont="1" applyFill="1" applyBorder="1" applyAlignment="1">
      <alignment horizontal="right" vertical="center"/>
    </xf>
    <xf numFmtId="10" fontId="29" fillId="13" borderId="18" xfId="0" applyNumberFormat="1" applyFont="1" applyFill="1" applyBorder="1" applyAlignment="1">
      <alignment horizontal="right" vertical="center"/>
    </xf>
    <xf numFmtId="0" fontId="29" fillId="3" borderId="18" xfId="0" applyFont="1" applyFill="1" applyBorder="1" applyAlignment="1" applyProtection="1">
      <alignment horizontal="right" vertical="center"/>
      <protection locked="0"/>
    </xf>
    <xf numFmtId="176" fontId="29" fillId="3" borderId="18" xfId="0" applyNumberFormat="1" applyFont="1" applyFill="1" applyBorder="1" applyAlignment="1" applyProtection="1">
      <alignment horizontal="right" vertical="center"/>
      <protection locked="0"/>
    </xf>
    <xf numFmtId="177" fontId="29" fillId="3" borderId="18" xfId="0" applyNumberFormat="1" applyFont="1" applyFill="1" applyBorder="1" applyAlignment="1" applyProtection="1">
      <alignment horizontal="right" vertical="center"/>
      <protection locked="0"/>
    </xf>
    <xf numFmtId="179" fontId="29" fillId="3" borderId="18" xfId="0" applyNumberFormat="1" applyFont="1" applyFill="1" applyBorder="1" applyAlignment="1" applyProtection="1">
      <alignment vertical="center"/>
      <protection locked="0"/>
    </xf>
    <xf numFmtId="0" fontId="35" fillId="14" borderId="0" xfId="0" applyFont="1" applyFill="1" applyBorder="1" applyAlignment="1">
      <alignment vertical="center"/>
    </xf>
    <xf numFmtId="0" fontId="35" fillId="14" borderId="0" xfId="0" applyFont="1" applyFill="1" applyBorder="1" applyAlignment="1">
      <alignment horizontal="right" vertical="center"/>
    </xf>
    <xf numFmtId="0" fontId="35" fillId="14" borderId="23" xfId="0" applyFont="1" applyFill="1" applyBorder="1" applyAlignment="1">
      <alignment horizontal="left" vertical="center"/>
    </xf>
    <xf numFmtId="0" fontId="35" fillId="14" borderId="24" xfId="0" applyFont="1" applyFill="1" applyBorder="1" applyAlignment="1">
      <alignment vertical="center"/>
    </xf>
    <xf numFmtId="0" fontId="36" fillId="14" borderId="24" xfId="0" applyFont="1" applyFill="1" applyBorder="1" applyAlignment="1">
      <alignment horizontal="right" vertical="center"/>
    </xf>
    <xf numFmtId="0" fontId="35" fillId="14" borderId="24" xfId="0" applyFont="1" applyFill="1" applyBorder="1" applyAlignment="1">
      <alignment horizontal="right" vertical="center"/>
    </xf>
    <xf numFmtId="0" fontId="22" fillId="7" borderId="26" xfId="0" applyFont="1" applyFill="1" applyBorder="1" applyAlignment="1">
      <alignment horizontal="left"/>
    </xf>
    <xf numFmtId="0" fontId="22" fillId="7" borderId="27" xfId="0" applyFont="1" applyFill="1" applyBorder="1"/>
    <xf numFmtId="4" fontId="22" fillId="7" borderId="27" xfId="0" applyNumberFormat="1" applyFont="1" applyFill="1" applyBorder="1" applyAlignment="1">
      <alignment horizontal="right"/>
    </xf>
    <xf numFmtId="4" fontId="25" fillId="7" borderId="27" xfId="0" applyNumberFormat="1" applyFont="1" applyFill="1" applyBorder="1" applyAlignment="1">
      <alignment horizontal="right"/>
    </xf>
    <xf numFmtId="0" fontId="30" fillId="7" borderId="26" xfId="0" applyFont="1" applyFill="1" applyBorder="1" applyAlignment="1">
      <alignment horizontal="left"/>
    </xf>
    <xf numFmtId="0" fontId="35" fillId="14" borderId="26" xfId="0" applyFont="1" applyFill="1" applyBorder="1" applyAlignment="1">
      <alignment horizontal="left" vertical="center"/>
    </xf>
    <xf numFmtId="3" fontId="22" fillId="7" borderId="27" xfId="0" applyNumberFormat="1" applyFont="1" applyFill="1" applyBorder="1" applyAlignment="1">
      <alignment horizontal="right"/>
    </xf>
    <xf numFmtId="0" fontId="22" fillId="7" borderId="26" xfId="0" applyFont="1" applyFill="1" applyBorder="1" applyAlignment="1">
      <alignment horizontal="right" vertical="center"/>
    </xf>
    <xf numFmtId="0" fontId="25" fillId="7" borderId="26" xfId="0" applyFont="1" applyFill="1" applyBorder="1" applyAlignment="1">
      <alignment horizontal="right" vertical="center"/>
    </xf>
    <xf numFmtId="0" fontId="25" fillId="7" borderId="27" xfId="0" applyFont="1" applyFill="1" applyBorder="1"/>
    <xf numFmtId="4" fontId="22" fillId="7" borderId="27" xfId="0" applyNumberFormat="1" applyFont="1" applyFill="1" applyBorder="1"/>
    <xf numFmtId="4" fontId="32" fillId="7" borderId="27" xfId="0" applyNumberFormat="1" applyFont="1" applyFill="1" applyBorder="1"/>
    <xf numFmtId="0" fontId="43" fillId="14" borderId="27" xfId="0" applyFont="1" applyFill="1" applyBorder="1" applyAlignment="1">
      <alignment horizontal="right"/>
    </xf>
    <xf numFmtId="0" fontId="22" fillId="7" borderId="26" xfId="0" applyFont="1" applyFill="1" applyBorder="1"/>
    <xf numFmtId="0" fontId="32" fillId="7" borderId="27" xfId="0" applyFont="1" applyFill="1" applyBorder="1"/>
    <xf numFmtId="0" fontId="25" fillId="7" borderId="26" xfId="0" applyFont="1" applyFill="1" applyBorder="1"/>
    <xf numFmtId="0" fontId="25" fillId="7" borderId="28" xfId="0" applyFont="1" applyFill="1" applyBorder="1"/>
    <xf numFmtId="0" fontId="25" fillId="7" borderId="29" xfId="0" applyFont="1" applyFill="1" applyBorder="1"/>
    <xf numFmtId="0" fontId="22" fillId="7" borderId="29" xfId="0" applyFont="1" applyFill="1" applyBorder="1"/>
    <xf numFmtId="0" fontId="22" fillId="7" borderId="30" xfId="0" applyFont="1" applyFill="1" applyBorder="1"/>
    <xf numFmtId="0" fontId="12" fillId="0" borderId="0" xfId="5" applyAlignment="1" applyProtection="1">
      <alignment horizontal="right"/>
    </xf>
    <xf numFmtId="166" fontId="25" fillId="0" borderId="0" xfId="0" applyNumberFormat="1" applyFont="1"/>
    <xf numFmtId="0" fontId="25" fillId="0" borderId="31" xfId="0" applyFont="1" applyBorder="1"/>
    <xf numFmtId="184" fontId="25" fillId="0" borderId="31" xfId="0" applyNumberFormat="1" applyFont="1" applyBorder="1"/>
    <xf numFmtId="10" fontId="14" fillId="0" borderId="0" xfId="0" applyNumberFormat="1" applyFont="1" applyBorder="1" applyAlignment="1">
      <alignment horizontal="right"/>
    </xf>
    <xf numFmtId="4" fontId="0" fillId="0" borderId="0" xfId="0" applyNumberFormat="1" applyFont="1"/>
    <xf numFmtId="0" fontId="0" fillId="0" borderId="0" xfId="0" applyFont="1"/>
    <xf numFmtId="3" fontId="0" fillId="0" borderId="0" xfId="0" applyNumberFormat="1" applyFont="1"/>
    <xf numFmtId="0" fontId="0" fillId="0" borderId="0" xfId="0" applyFont="1" applyBorder="1"/>
    <xf numFmtId="0" fontId="44" fillId="0" borderId="0" xfId="0" applyFont="1"/>
    <xf numFmtId="0" fontId="45" fillId="0" borderId="0" xfId="5" applyFont="1" applyAlignment="1" applyProtection="1">
      <alignment horizontal="right"/>
    </xf>
    <xf numFmtId="4" fontId="46" fillId="0" borderId="0" xfId="0" applyNumberFormat="1" applyFont="1"/>
    <xf numFmtId="0" fontId="47" fillId="5" borderId="4" xfId="0" applyFont="1" applyFill="1" applyBorder="1" applyAlignment="1">
      <alignment horizontal="right" vertical="top"/>
    </xf>
    <xf numFmtId="0" fontId="47" fillId="5" borderId="5" xfId="0" applyFont="1" applyFill="1" applyBorder="1" applyAlignment="1">
      <alignment horizontal="right" vertical="top"/>
    </xf>
    <xf numFmtId="0" fontId="47" fillId="5" borderId="6" xfId="0" applyFont="1" applyFill="1" applyBorder="1" applyAlignment="1">
      <alignment horizontal="right" vertical="top"/>
    </xf>
    <xf numFmtId="3" fontId="48" fillId="3" borderId="12" xfId="0" applyNumberFormat="1" applyFont="1" applyFill="1" applyBorder="1" applyAlignment="1" applyProtection="1">
      <alignment horizontal="right"/>
      <protection locked="0"/>
    </xf>
    <xf numFmtId="0" fontId="44" fillId="0" borderId="10" xfId="0" applyFont="1" applyBorder="1" applyAlignment="1">
      <alignment horizontal="right"/>
    </xf>
    <xf numFmtId="1" fontId="46" fillId="0" borderId="0" xfId="0" applyNumberFormat="1" applyFont="1" applyBorder="1" applyAlignment="1">
      <alignment horizontal="right"/>
    </xf>
    <xf numFmtId="1" fontId="46" fillId="0" borderId="11" xfId="0" applyNumberFormat="1" applyFont="1" applyBorder="1" applyAlignment="1">
      <alignment horizontal="right"/>
    </xf>
    <xf numFmtId="3" fontId="44" fillId="0" borderId="10" xfId="0" applyNumberFormat="1" applyFont="1" applyBorder="1" applyAlignment="1">
      <alignment horizontal="right"/>
    </xf>
    <xf numFmtId="3" fontId="44" fillId="0" borderId="7" xfId="0" applyNumberFormat="1" applyFont="1" applyBorder="1" applyAlignment="1">
      <alignment horizontal="right"/>
    </xf>
    <xf numFmtId="1" fontId="46" fillId="0" borderId="8" xfId="0" applyNumberFormat="1" applyFont="1" applyBorder="1" applyAlignment="1">
      <alignment horizontal="right"/>
    </xf>
    <xf numFmtId="1" fontId="46" fillId="0" borderId="9" xfId="0" applyNumberFormat="1" applyFont="1" applyBorder="1" applyAlignment="1">
      <alignment horizontal="right"/>
    </xf>
    <xf numFmtId="0" fontId="49" fillId="0" borderId="0" xfId="0" applyFont="1"/>
    <xf numFmtId="1" fontId="50" fillId="0" borderId="11" xfId="0" applyNumberFormat="1" applyFont="1" applyBorder="1" applyAlignment="1">
      <alignment horizontal="right"/>
    </xf>
    <xf numFmtId="1" fontId="50" fillId="0" borderId="9" xfId="0" applyNumberFormat="1" applyFont="1" applyBorder="1" applyAlignment="1">
      <alignment horizontal="right"/>
    </xf>
    <xf numFmtId="0" fontId="41" fillId="0" borderId="0" xfId="0" applyFont="1" applyAlignment="1">
      <alignment horizontal="center"/>
    </xf>
    <xf numFmtId="0" fontId="35" fillId="14" borderId="0" xfId="0" applyFont="1" applyFill="1" applyBorder="1" applyAlignment="1">
      <alignment horizontal="center" vertical="center"/>
    </xf>
    <xf numFmtId="0" fontId="35" fillId="14" borderId="27" xfId="0" applyFont="1" applyFill="1" applyBorder="1" applyAlignment="1">
      <alignment horizontal="center" vertical="center"/>
    </xf>
    <xf numFmtId="0" fontId="0" fillId="15" borderId="27" xfId="0" applyFill="1" applyBorder="1"/>
    <xf numFmtId="0" fontId="24" fillId="7" borderId="0" xfId="0" applyFont="1" applyFill="1" applyBorder="1" applyAlignment="1">
      <alignment horizontal="left" vertical="center" wrapText="1"/>
    </xf>
    <xf numFmtId="182" fontId="29" fillId="3" borderId="20" xfId="0" applyNumberFormat="1" applyFont="1" applyFill="1" applyBorder="1" applyAlignment="1" applyProtection="1">
      <alignment horizontal="right" vertical="center"/>
      <protection locked="0"/>
    </xf>
    <xf numFmtId="182" fontId="29" fillId="3" borderId="22" xfId="0" applyNumberFormat="1" applyFont="1" applyFill="1" applyBorder="1" applyAlignment="1" applyProtection="1">
      <alignment horizontal="right" vertical="center"/>
      <protection locked="0"/>
    </xf>
    <xf numFmtId="173" fontId="29" fillId="3" borderId="20" xfId="0" applyNumberFormat="1" applyFont="1" applyFill="1" applyBorder="1" applyAlignment="1" applyProtection="1">
      <alignment horizontal="right" vertical="center"/>
      <protection locked="0"/>
    </xf>
    <xf numFmtId="173" fontId="29" fillId="3" borderId="22" xfId="0" applyNumberFormat="1" applyFont="1" applyFill="1" applyBorder="1" applyAlignment="1" applyProtection="1">
      <alignment horizontal="right" vertical="center"/>
      <protection locked="0"/>
    </xf>
    <xf numFmtId="3" fontId="29" fillId="3" borderId="20" xfId="0" applyNumberFormat="1" applyFont="1" applyFill="1" applyBorder="1" applyAlignment="1" applyProtection="1">
      <alignment horizontal="right" vertical="center"/>
      <protection locked="0"/>
    </xf>
    <xf numFmtId="3" fontId="29" fillId="3" borderId="21" xfId="0" applyNumberFormat="1" applyFont="1" applyFill="1" applyBorder="1" applyAlignment="1" applyProtection="1">
      <alignment horizontal="right" vertical="center"/>
      <protection locked="0"/>
    </xf>
    <xf numFmtId="3" fontId="29" fillId="3" borderId="22" xfId="0" applyNumberFormat="1" applyFont="1" applyFill="1" applyBorder="1" applyAlignment="1" applyProtection="1">
      <alignment horizontal="right" vertical="center"/>
      <protection locked="0"/>
    </xf>
    <xf numFmtId="3" fontId="27" fillId="7" borderId="0" xfId="0" applyNumberFormat="1" applyFont="1" applyFill="1" applyBorder="1" applyAlignment="1">
      <alignment horizontal="right" vertical="center"/>
    </xf>
    <xf numFmtId="172" fontId="29" fillId="3" borderId="20" xfId="0" applyNumberFormat="1" applyFont="1" applyFill="1" applyBorder="1" applyAlignment="1" applyProtection="1">
      <alignment horizontal="right" vertical="center"/>
      <protection locked="0"/>
    </xf>
    <xf numFmtId="172" fontId="29" fillId="3" borderId="22" xfId="0" applyNumberFormat="1" applyFont="1" applyFill="1" applyBorder="1" applyAlignment="1" applyProtection="1">
      <alignment horizontal="right" vertical="center"/>
      <protection locked="0"/>
    </xf>
    <xf numFmtId="181" fontId="29" fillId="11" borderId="0" xfId="0" applyNumberFormat="1" applyFont="1" applyFill="1" applyBorder="1" applyAlignment="1">
      <alignment horizontal="right" vertical="center"/>
    </xf>
    <xf numFmtId="181" fontId="27" fillId="12" borderId="18" xfId="0" applyNumberFormat="1" applyFont="1" applyFill="1" applyBorder="1" applyAlignment="1">
      <alignment horizontal="right" vertical="center"/>
    </xf>
    <xf numFmtId="0" fontId="35" fillId="14" borderId="24" xfId="0" applyFont="1" applyFill="1" applyBorder="1" applyAlignment="1">
      <alignment horizontal="center" vertical="center"/>
    </xf>
    <xf numFmtId="0" fontId="35" fillId="14" borderId="25" xfId="0" applyFont="1" applyFill="1" applyBorder="1" applyAlignment="1">
      <alignment horizontal="center" vertical="center"/>
    </xf>
    <xf numFmtId="0" fontId="21" fillId="10" borderId="0" xfId="0" applyFont="1" applyFill="1" applyBorder="1" applyAlignment="1">
      <alignment horizontal="center" vertical="center"/>
    </xf>
    <xf numFmtId="3" fontId="7" fillId="7" borderId="12" xfId="0" applyNumberFormat="1" applyFont="1" applyFill="1" applyBorder="1" applyAlignment="1">
      <alignment horizontal="right"/>
    </xf>
    <xf numFmtId="0" fontId="41" fillId="0" borderId="0" xfId="0" applyFont="1" applyAlignment="1">
      <alignment horizontal="center"/>
    </xf>
    <xf numFmtId="0" fontId="51" fillId="16" borderId="0" xfId="0" applyFont="1" applyFill="1" applyAlignment="1">
      <alignment horizontal="center"/>
    </xf>
  </cellXfs>
  <cellStyles count="6">
    <cellStyle name="Currency" xfId="4" builtinId="4"/>
    <cellStyle name="Heading 1" xfId="1" builtinId="16" customBuiltin="1"/>
    <cellStyle name="Heading 2" xfId="2" builtinId="17" customBuiltin="1"/>
    <cellStyle name="Heading 3" xfId="3" builtinId="18" customBuiltin="1"/>
    <cellStyle name="Hyperlink" xfId="5" builtinId="8"/>
    <cellStyle name="Normal" xfId="0" builtinId="0" customBuiltin="1"/>
  </cellStyles>
  <dxfs count="58">
    <dxf>
      <font>
        <color rgb="FF666666"/>
      </font>
      <fill>
        <patternFill patternType="solid">
          <fgColor rgb="FF666666"/>
          <bgColor rgb="FF666666"/>
        </patternFill>
      </fill>
      <border>
        <left/>
        <right/>
        <top/>
        <bottom/>
      </border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  <fill>
        <patternFill>
          <bgColor theme="9" tint="0.79998168889431442"/>
        </patternFill>
      </fill>
    </dxf>
    <dxf>
      <font>
        <color theme="0" tint="-0.24994659260841701"/>
      </font>
      <fill>
        <patternFill>
          <bgColor theme="9" tint="0.7999816888943144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ill>
        <patternFill patternType="none">
          <bgColor auto="1"/>
        </patternFill>
      </fill>
    </dxf>
    <dxf>
      <fill>
        <patternFill patternType="solid">
          <fgColor rgb="FF00FF00"/>
          <bgColor rgb="FF00FF00"/>
        </patternFill>
      </fill>
      <border>
        <left/>
        <right/>
        <top/>
        <bottom/>
      </border>
    </dxf>
    <dxf>
      <font>
        <color rgb="FFFF0000"/>
      </font>
      <fill>
        <patternFill patternType="solid">
          <fgColor rgb="FFFFC7CE"/>
          <bgColor rgb="FFFFC7CE"/>
        </patternFill>
      </fill>
      <border>
        <left/>
        <right/>
        <top/>
        <bottom/>
      </border>
    </dxf>
    <dxf>
      <font>
        <color rgb="FFFF0000"/>
      </font>
      <fill>
        <patternFill patternType="solid">
          <fgColor rgb="FFF4CCCC"/>
          <bgColor rgb="FFF4CCCC"/>
        </patternFill>
      </fill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border>
        <left/>
        <right/>
        <top/>
        <bottom/>
      </border>
    </dxf>
    <dxf>
      <fill>
        <patternFill patternType="solid">
          <fgColor rgb="FF000000"/>
          <bgColor rgb="FF000000"/>
        </patternFill>
      </fill>
      <border>
        <left/>
        <right/>
        <top/>
        <bottom/>
      </border>
    </dxf>
    <dxf>
      <font>
        <color theme="1" tint="0.499984740745262"/>
      </font>
      <fill>
        <patternFill patternType="none">
          <bgColor auto="1"/>
        </patternFill>
      </fill>
    </dxf>
    <dxf>
      <font>
        <color theme="1" tint="0.499984740745262"/>
      </font>
      <fill>
        <patternFill patternType="solid">
          <fgColor theme="1" tint="0.499984740745262"/>
          <bgColor theme="1" tint="0.499984740745262"/>
        </patternFill>
      </fill>
      <border>
        <left/>
        <right/>
        <top/>
        <bottom/>
      </border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  <fill>
        <patternFill>
          <bgColor theme="9" tint="0.79998168889431442"/>
        </patternFill>
      </fill>
    </dxf>
    <dxf>
      <font>
        <color theme="0" tint="-0.24994659260841701"/>
      </font>
      <fill>
        <patternFill>
          <bgColor theme="9" tint="0.7999816888943144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ill>
        <patternFill patternType="solid">
          <fgColor rgb="FF00FF00"/>
          <bgColor rgb="FF00FF00"/>
        </patternFill>
      </fill>
      <border>
        <left/>
        <right/>
        <top/>
        <bottom/>
      </border>
    </dxf>
    <dxf>
      <font>
        <color rgb="FFFF0000"/>
      </font>
      <fill>
        <patternFill patternType="solid">
          <fgColor rgb="FFFFC7CE"/>
          <bgColor rgb="FFFFC7CE"/>
        </patternFill>
      </fill>
      <border>
        <left/>
        <right/>
        <top/>
        <bottom/>
      </border>
    </dxf>
    <dxf>
      <font>
        <color rgb="FFFF0000"/>
      </font>
      <fill>
        <patternFill patternType="solid">
          <fgColor rgb="FFF4CCCC"/>
          <bgColor rgb="FFF4CCCC"/>
        </patternFill>
      </fill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border>
        <left/>
        <right/>
        <top/>
        <bottom/>
      </border>
    </dxf>
    <dxf>
      <fill>
        <patternFill patternType="solid">
          <fgColor rgb="FF000000"/>
          <bgColor rgb="FF000000"/>
        </patternFill>
      </fill>
      <border>
        <left/>
        <right/>
        <top/>
        <bottom/>
      </border>
    </dxf>
  </dxfs>
  <tableStyles count="0" defaultTableStyle="TableStyleLight9" defaultPivotStyle="PivotStyleLight16"/>
  <colors>
    <mruColors>
      <color rgb="FF006ED2"/>
      <color rgb="FFDBE5F1"/>
      <color rgb="FF0071B9"/>
      <color rgb="FF5B656E"/>
      <color rgb="FF366092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9</xdr:col>
      <xdr:colOff>152400</xdr:colOff>
      <xdr:row>2</xdr:row>
      <xdr:rowOff>170921</xdr:rowOff>
    </xdr:to>
    <xdr:pic>
      <xdr:nvPicPr>
        <xdr:cNvPr id="5" name="Picture 4" descr="header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725" y="0"/>
          <a:ext cx="8334375" cy="1352021"/>
        </a:xfrm>
        <a:prstGeom prst="rect">
          <a:avLst/>
        </a:prstGeom>
      </xdr:spPr>
    </xdr:pic>
    <xdr:clientData/>
  </xdr:twoCellAnchor>
  <xdr:twoCellAnchor>
    <xdr:from>
      <xdr:col>43</xdr:col>
      <xdr:colOff>247650</xdr:colOff>
      <xdr:row>0</xdr:row>
      <xdr:rowOff>104774</xdr:rowOff>
    </xdr:from>
    <xdr:to>
      <xdr:col>55</xdr:col>
      <xdr:colOff>371476</xdr:colOff>
      <xdr:row>9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F7EA501-F844-494E-B5A3-C1F8C6FABC2E}"/>
            </a:ext>
          </a:extLst>
        </xdr:cNvPr>
        <xdr:cNvSpPr txBox="1"/>
      </xdr:nvSpPr>
      <xdr:spPr>
        <a:xfrm>
          <a:off x="9925050" y="104774"/>
          <a:ext cx="7439026" cy="2838451"/>
        </a:xfrm>
        <a:prstGeom prst="rect">
          <a:avLst/>
        </a:prstGeom>
        <a:ln>
          <a:solidFill>
            <a:srgbClr val="006ED2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AU" sz="1200" b="1">
              <a:solidFill>
                <a:srgbClr val="006ED2"/>
              </a:solidFill>
            </a:rPr>
            <a:t>Please Note:</a:t>
          </a:r>
        </a:p>
        <a:p>
          <a:r>
            <a:rPr lang="en-AU" sz="1200" b="0">
              <a:solidFill>
                <a:srgbClr val="006ED2"/>
              </a:solidFill>
            </a:rPr>
            <a:t>Should you have</a:t>
          </a:r>
          <a:r>
            <a:rPr lang="en-AU" sz="1200" b="0" baseline="0">
              <a:solidFill>
                <a:srgbClr val="006ED2"/>
              </a:solidFill>
            </a:rPr>
            <a:t> any issue with the file calculating in excel, please ensure that the calculation is set to automatic.</a:t>
          </a:r>
        </a:p>
        <a:p>
          <a:r>
            <a:rPr lang="en-AU" sz="1200" b="0" baseline="0">
              <a:solidFill>
                <a:srgbClr val="006ED2"/>
              </a:solidFill>
            </a:rPr>
            <a:t>Select 'Formulas', then, under 'Calculation Options' set it to Automatic.</a:t>
          </a:r>
        </a:p>
        <a:p>
          <a:endParaRPr lang="en-AU" sz="1200" b="0" baseline="0">
            <a:solidFill>
              <a:srgbClr val="006ED2"/>
            </a:solidFill>
          </a:endParaRPr>
        </a:p>
        <a:p>
          <a:endParaRPr lang="en-AU" sz="1200" b="0" baseline="0">
            <a:solidFill>
              <a:srgbClr val="006ED2"/>
            </a:solidFill>
          </a:endParaRPr>
        </a:p>
        <a:p>
          <a:endParaRPr lang="en-AU" sz="1200" b="0" baseline="0">
            <a:solidFill>
              <a:srgbClr val="006ED2"/>
            </a:solidFill>
          </a:endParaRPr>
        </a:p>
        <a:p>
          <a:endParaRPr lang="en-AU" sz="1200" b="0" baseline="0">
            <a:solidFill>
              <a:srgbClr val="006ED2"/>
            </a:solidFill>
          </a:endParaRPr>
        </a:p>
        <a:p>
          <a:endParaRPr lang="en-AU" sz="1200" b="0" baseline="0">
            <a:solidFill>
              <a:srgbClr val="006ED2"/>
            </a:solidFill>
          </a:endParaRPr>
        </a:p>
        <a:p>
          <a:endParaRPr lang="en-AU" sz="1200" b="0" baseline="0">
            <a:solidFill>
              <a:srgbClr val="006ED2"/>
            </a:solidFill>
          </a:endParaRPr>
        </a:p>
        <a:p>
          <a:endParaRPr lang="en-AU" sz="1200" b="0" baseline="0">
            <a:solidFill>
              <a:srgbClr val="006ED2"/>
            </a:solidFill>
          </a:endParaRPr>
        </a:p>
        <a:p>
          <a:endParaRPr lang="en-AU" sz="1200" b="0" baseline="0">
            <a:solidFill>
              <a:srgbClr val="006ED2"/>
            </a:solidFill>
          </a:endParaRPr>
        </a:p>
        <a:p>
          <a:endParaRPr lang="en-AU" sz="1200" b="0" baseline="0">
            <a:solidFill>
              <a:srgbClr val="006ED2"/>
            </a:solidFill>
          </a:endParaRPr>
        </a:p>
        <a:p>
          <a:endParaRPr lang="en-AU" sz="1200" b="0" baseline="0">
            <a:solidFill>
              <a:srgbClr val="006ED2"/>
            </a:solidFill>
          </a:endParaRPr>
        </a:p>
        <a:p>
          <a:r>
            <a:rPr lang="en-AU" sz="1200" b="0" baseline="0">
              <a:solidFill>
                <a:srgbClr val="006ED2"/>
              </a:solidFill>
            </a:rPr>
            <a:t>Alternatively you can press the 'F9' key to calculate.</a:t>
          </a:r>
          <a:endParaRPr lang="en-AU" sz="1200" b="0">
            <a:solidFill>
              <a:srgbClr val="006ED2"/>
            </a:solidFill>
          </a:endParaRPr>
        </a:p>
      </xdr:txBody>
    </xdr:sp>
    <xdr:clientData/>
  </xdr:twoCellAnchor>
  <xdr:twoCellAnchor editAs="oneCell">
    <xdr:from>
      <xdr:col>43</xdr:col>
      <xdr:colOff>380999</xdr:colOff>
      <xdr:row>1</xdr:row>
      <xdr:rowOff>929808</xdr:rowOff>
    </xdr:from>
    <xdr:to>
      <xdr:col>55</xdr:col>
      <xdr:colOff>47626</xdr:colOff>
      <xdr:row>6</xdr:row>
      <xdr:rowOff>123825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45579DA-D847-4756-BA52-AA6F992D475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22889"/>
        <a:stretch/>
      </xdr:blipFill>
      <xdr:spPr>
        <a:xfrm>
          <a:off x="10058399" y="1072683"/>
          <a:ext cx="6981826" cy="1251417"/>
        </a:xfrm>
        <a:prstGeom prst="rect">
          <a:avLst/>
        </a:prstGeom>
      </xdr:spPr>
    </xdr:pic>
    <xdr:clientData/>
  </xdr:twoCellAnchor>
  <xdr:twoCellAnchor>
    <xdr:from>
      <xdr:col>44</xdr:col>
      <xdr:colOff>542925</xdr:colOff>
      <xdr:row>1</xdr:row>
      <xdr:rowOff>542925</xdr:rowOff>
    </xdr:from>
    <xdr:to>
      <xdr:col>46</xdr:col>
      <xdr:colOff>19050</xdr:colOff>
      <xdr:row>1</xdr:row>
      <xdr:rowOff>1000125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664A53BC-9FFF-4BAB-8174-2E5DDDE85F71}"/>
            </a:ext>
          </a:extLst>
        </xdr:cNvPr>
        <xdr:cNvCxnSpPr/>
      </xdr:nvCxnSpPr>
      <xdr:spPr>
        <a:xfrm>
          <a:off x="10829925" y="685800"/>
          <a:ext cx="695325" cy="45720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47</xdr:col>
      <xdr:colOff>600075</xdr:colOff>
      <xdr:row>1</xdr:row>
      <xdr:rowOff>619125</xdr:rowOff>
    </xdr:from>
    <xdr:to>
      <xdr:col>51</xdr:col>
      <xdr:colOff>561975</xdr:colOff>
      <xdr:row>2</xdr:row>
      <xdr:rowOff>152400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6F2107DE-8C19-4DA7-9E15-7B646096D3DE}"/>
            </a:ext>
          </a:extLst>
        </xdr:cNvPr>
        <xdr:cNvCxnSpPr/>
      </xdr:nvCxnSpPr>
      <xdr:spPr>
        <a:xfrm>
          <a:off x="12715875" y="762000"/>
          <a:ext cx="2400300" cy="57150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365232</xdr:colOff>
      <xdr:row>58</xdr:row>
      <xdr:rowOff>247170</xdr:rowOff>
    </xdr:from>
    <xdr:to>
      <xdr:col>38</xdr:col>
      <xdr:colOff>233448</xdr:colOff>
      <xdr:row>77</xdr:row>
      <xdr:rowOff>123736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041E599-63C7-48F0-804F-19E33E2A53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586997" y="12842582"/>
          <a:ext cx="2938628" cy="3092654"/>
        </a:xfrm>
        <a:prstGeom prst="rect">
          <a:avLst/>
        </a:prstGeom>
      </xdr:spPr>
    </xdr:pic>
    <xdr:clientData/>
  </xdr:twoCellAnchor>
  <xdr:twoCellAnchor editAs="oneCell">
    <xdr:from>
      <xdr:col>38</xdr:col>
      <xdr:colOff>415660</xdr:colOff>
      <xdr:row>58</xdr:row>
      <xdr:rowOff>189779</xdr:rowOff>
    </xdr:from>
    <xdr:to>
      <xdr:col>44</xdr:col>
      <xdr:colOff>161437</xdr:colOff>
      <xdr:row>78</xdr:row>
      <xdr:rowOff>32818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5676DC2-6D6B-4605-B061-D69574DE9B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707836" y="12785191"/>
          <a:ext cx="3298041" cy="3204803"/>
        </a:xfrm>
        <a:prstGeom prst="rect">
          <a:avLst/>
        </a:prstGeom>
      </xdr:spPr>
    </xdr:pic>
    <xdr:clientData/>
  </xdr:twoCellAnchor>
  <xdr:twoCellAnchor editAs="oneCell">
    <xdr:from>
      <xdr:col>44</xdr:col>
      <xdr:colOff>271342</xdr:colOff>
      <xdr:row>58</xdr:row>
      <xdr:rowOff>122464</xdr:rowOff>
    </xdr:from>
    <xdr:to>
      <xdr:col>50</xdr:col>
      <xdr:colOff>34973</xdr:colOff>
      <xdr:row>77</xdr:row>
      <xdr:rowOff>70717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BDE822E-50D4-45C6-8BDA-374658793C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248128" y="12872357"/>
          <a:ext cx="3451166" cy="3227574"/>
        </a:xfrm>
        <a:prstGeom prst="rect">
          <a:avLst/>
        </a:prstGeom>
      </xdr:spPr>
    </xdr:pic>
    <xdr:clientData/>
  </xdr:twoCellAnchor>
  <xdr:twoCellAnchor editAs="oneCell">
    <xdr:from>
      <xdr:col>33</xdr:col>
      <xdr:colOff>493060</xdr:colOff>
      <xdr:row>45</xdr:row>
      <xdr:rowOff>11205</xdr:rowOff>
    </xdr:from>
    <xdr:to>
      <xdr:col>42</xdr:col>
      <xdr:colOff>632432</xdr:colOff>
      <xdr:row>56</xdr:row>
      <xdr:rowOff>103907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8EA2C5B-2CC5-4B2B-9E31-99618BBA0A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6714825" y="9928411"/>
          <a:ext cx="5619048" cy="2457143"/>
        </a:xfrm>
        <a:prstGeom prst="rect">
          <a:avLst/>
        </a:prstGeom>
      </xdr:spPr>
    </xdr:pic>
    <xdr:clientData/>
  </xdr:twoCellAnchor>
  <xdr:twoCellAnchor editAs="oneCell">
    <xdr:from>
      <xdr:col>18</xdr:col>
      <xdr:colOff>224118</xdr:colOff>
      <xdr:row>41</xdr:row>
      <xdr:rowOff>179294</xdr:rowOff>
    </xdr:from>
    <xdr:to>
      <xdr:col>23</xdr:col>
      <xdr:colOff>652947</xdr:colOff>
      <xdr:row>55</xdr:row>
      <xdr:rowOff>141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B15602BF-C6FA-4695-9D5C-8573674EE7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161559" y="9267265"/>
          <a:ext cx="4093153" cy="2857080"/>
        </a:xfrm>
        <a:prstGeom prst="rect">
          <a:avLst/>
        </a:prstGeom>
      </xdr:spPr>
    </xdr:pic>
    <xdr:clientData/>
  </xdr:twoCellAnchor>
  <xdr:twoCellAnchor editAs="oneCell">
    <xdr:from>
      <xdr:col>18</xdr:col>
      <xdr:colOff>212912</xdr:colOff>
      <xdr:row>57</xdr:row>
      <xdr:rowOff>100854</xdr:rowOff>
    </xdr:from>
    <xdr:to>
      <xdr:col>28</xdr:col>
      <xdr:colOff>1254154</xdr:colOff>
      <xdr:row>66</xdr:row>
      <xdr:rowOff>139848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C8ADFB3-1973-4A70-8179-4426B7765C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5150353" y="12539383"/>
          <a:ext cx="7238095" cy="1809524"/>
        </a:xfrm>
        <a:prstGeom prst="rect">
          <a:avLst/>
        </a:prstGeom>
      </xdr:spPr>
    </xdr:pic>
    <xdr:clientData/>
  </xdr:twoCellAnchor>
  <xdr:twoCellAnchor editAs="oneCell">
    <xdr:from>
      <xdr:col>33</xdr:col>
      <xdr:colOff>49624</xdr:colOff>
      <xdr:row>6</xdr:row>
      <xdr:rowOff>157684</xdr:rowOff>
    </xdr:from>
    <xdr:to>
      <xdr:col>37</xdr:col>
      <xdr:colOff>466206</xdr:colOff>
      <xdr:row>19</xdr:row>
      <xdr:rowOff>243586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5641B54A-8F79-46A4-8F32-C9F5066F80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5372517" y="1627255"/>
          <a:ext cx="2879475" cy="3093081"/>
        </a:xfrm>
        <a:prstGeom prst="rect">
          <a:avLst/>
        </a:prstGeom>
      </xdr:spPr>
    </xdr:pic>
    <xdr:clientData/>
  </xdr:twoCellAnchor>
  <xdr:twoCellAnchor editAs="oneCell">
    <xdr:from>
      <xdr:col>38</xdr:col>
      <xdr:colOff>144075</xdr:colOff>
      <xdr:row>6</xdr:row>
      <xdr:rowOff>88047</xdr:rowOff>
    </xdr:from>
    <xdr:to>
      <xdr:col>43</xdr:col>
      <xdr:colOff>68524</xdr:colOff>
      <xdr:row>20</xdr:row>
      <xdr:rowOff>54429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E9701824-2044-40E7-854F-61DAD20835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8555789" y="1557618"/>
          <a:ext cx="3054092" cy="32320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WeightLossTracker">
  <a:themeElements>
    <a:clrScheme name="WeightLossTracker_color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7B0B8"/>
      </a:accent1>
      <a:accent2>
        <a:srgbClr val="FF6B6B"/>
      </a:accent2>
      <a:accent3>
        <a:srgbClr val="556270"/>
      </a:accent3>
      <a:accent4>
        <a:srgbClr val="81B63C"/>
      </a:accent4>
      <a:accent5>
        <a:srgbClr val="ED932C"/>
      </a:accent5>
      <a:accent6>
        <a:srgbClr val="A0729D"/>
      </a:accent6>
      <a:hlink>
        <a:srgbClr val="39ADDC"/>
      </a:hlink>
      <a:folHlink>
        <a:srgbClr val="895EA7"/>
      </a:folHlink>
    </a:clrScheme>
    <a:fontScheme name="Finance charge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Spring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lumMod val="110000"/>
              </a:schemeClr>
            </a:gs>
            <a:gs pos="100000">
              <a:schemeClr val="phClr">
                <a:tint val="100000"/>
                <a:shade val="85000"/>
                <a:lumMod val="8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97000"/>
                <a:satMod val="100000"/>
                <a:lumMod val="110000"/>
              </a:schemeClr>
            </a:gs>
            <a:gs pos="100000">
              <a:schemeClr val="phClr">
                <a:shade val="85000"/>
                <a:lumMod val="80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88900" dist="38100" dir="5400000" algn="ctr" rotWithShape="0">
              <a:srgbClr val="000000">
                <a:alpha val="65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5400000"/>
            </a:lightRig>
          </a:scene3d>
          <a:sp3d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100000"/>
                <a:hueMod val="100000"/>
                <a:satMod val="106000"/>
                <a:lumMod val="100000"/>
              </a:schemeClr>
            </a:gs>
            <a:gs pos="88000">
              <a:schemeClr val="phClr">
                <a:tint val="90000"/>
                <a:shade val="68000"/>
                <a:hueMod val="100000"/>
                <a:satMod val="114000"/>
                <a:lumMod val="74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94000"/>
                <a:shade val="100000"/>
                <a:hueMod val="100000"/>
                <a:satMod val="118000"/>
                <a:lumMod val="100000"/>
              </a:schemeClr>
            </a:gs>
            <a:gs pos="100000">
              <a:schemeClr val="phClr">
                <a:tint val="98000"/>
                <a:shade val="68000"/>
                <a:hueMod val="100000"/>
                <a:satMod val="118000"/>
                <a:lumMod val="82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ato.gov.au/Individuals/Medicare-levy/Medicare-levy-reduction-for-low-income-earners/" TargetMode="External"/><Relationship Id="rId1" Type="http://schemas.openxmlformats.org/officeDocument/2006/relationships/hyperlink" Target="https://www.ato.gov.au/Rates/Individual-income-tax-rates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ato.gov.au/Rates/Individual-income-tax-rates/" TargetMode="External"/><Relationship Id="rId1" Type="http://schemas.openxmlformats.org/officeDocument/2006/relationships/hyperlink" Target="https://www.ato.gov.au/Individuals/Medicare-levy/Reduction-for-people-on-low-incomes/Income-thresholds-for-Medicare-levy-reduction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AQ54"/>
  <sheetViews>
    <sheetView showGridLines="0" tabSelected="1" zoomScaleNormal="100" workbookViewId="0">
      <selection activeCell="F6" sqref="F6"/>
    </sheetView>
  </sheetViews>
  <sheetFormatPr defaultColWidth="9.140625" defaultRowHeight="11.25" customHeight="1" outlineLevelCol="1" x14ac:dyDescent="0.2"/>
  <cols>
    <col min="1" max="1" width="3.28515625" style="103" customWidth="1"/>
    <col min="2" max="2" width="3.85546875" style="106" customWidth="1"/>
    <col min="3" max="3" width="3.7109375" style="106" customWidth="1"/>
    <col min="4" max="4" width="31.42578125" style="106" customWidth="1"/>
    <col min="5" max="5" width="2" style="106" customWidth="1"/>
    <col min="6" max="6" width="32.28515625" style="106" customWidth="1"/>
    <col min="7" max="7" width="20.85546875" style="106" customWidth="1"/>
    <col min="8" max="8" width="20.7109375" style="106" customWidth="1"/>
    <col min="9" max="9" width="5.85546875" style="106" customWidth="1"/>
    <col min="10" max="10" width="3.28515625" style="106" customWidth="1"/>
    <col min="11" max="11" width="8.7109375" style="106" customWidth="1"/>
    <col min="12" max="12" width="10.28515625" style="106" hidden="1" customWidth="1"/>
    <col min="13" max="15" width="8.7109375" style="106" hidden="1" customWidth="1"/>
    <col min="16" max="17" width="9.140625" style="105" hidden="1" customWidth="1" outlineLevel="1"/>
    <col min="18" max="18" width="11.85546875" style="105" hidden="1" customWidth="1" outlineLevel="1"/>
    <col min="19" max="19" width="9.140625" style="105" hidden="1" customWidth="1" outlineLevel="1"/>
    <col min="20" max="24" width="9.140625" style="106" hidden="1" customWidth="1" outlineLevel="1"/>
    <col min="25" max="25" width="30" style="106" hidden="1" customWidth="1" outlineLevel="1"/>
    <col min="26" max="26" width="10.28515625" style="106" hidden="1" customWidth="1" outlineLevel="1"/>
    <col min="27" max="42" width="9.140625" style="106" hidden="1" customWidth="1" outlineLevel="1"/>
    <col min="43" max="43" width="9.140625" style="106" customWidth="1" collapsed="1"/>
    <col min="44" max="50" width="9.140625" style="106" customWidth="1"/>
    <col min="51" max="16384" width="9.140625" style="106"/>
  </cols>
  <sheetData>
    <row r="2" spans="1:26" ht="81.75" customHeight="1" x14ac:dyDescent="0.2">
      <c r="A2" s="102"/>
      <c r="B2" s="186"/>
      <c r="C2" s="264"/>
      <c r="D2" s="264"/>
      <c r="E2" s="264"/>
      <c r="F2" s="264"/>
      <c r="G2" s="186"/>
      <c r="H2" s="186"/>
      <c r="I2" s="102"/>
      <c r="J2" s="102"/>
      <c r="K2" s="103"/>
      <c r="L2" s="103"/>
      <c r="M2" s="103"/>
      <c r="N2" s="103"/>
      <c r="O2" s="103"/>
      <c r="P2" s="104"/>
      <c r="Q2" s="104"/>
      <c r="R2" s="104"/>
    </row>
    <row r="3" spans="1:26" ht="21" customHeight="1" x14ac:dyDescent="0.2">
      <c r="A3" s="102"/>
      <c r="B3" s="187"/>
      <c r="C3" s="102"/>
      <c r="D3" s="102"/>
      <c r="E3" s="102"/>
      <c r="F3" s="102"/>
      <c r="G3" s="102"/>
      <c r="H3" s="102"/>
      <c r="I3" s="102"/>
      <c r="J3" s="102"/>
      <c r="K3" s="103"/>
      <c r="L3" s="107"/>
      <c r="M3" s="107"/>
    </row>
    <row r="4" spans="1:26" s="175" customFormat="1" ht="20.25" customHeight="1" x14ac:dyDescent="0.2">
      <c r="A4" s="171"/>
      <c r="B4" s="210">
        <v>1</v>
      </c>
      <c r="C4" s="211" t="s">
        <v>1</v>
      </c>
      <c r="D4" s="211"/>
      <c r="E4" s="211"/>
      <c r="F4" s="212"/>
      <c r="G4" s="213" t="s">
        <v>65</v>
      </c>
      <c r="H4" s="277" t="s">
        <v>66</v>
      </c>
      <c r="I4" s="278"/>
      <c r="J4" s="171"/>
      <c r="K4" s="172"/>
      <c r="L4" s="173" t="s">
        <v>5</v>
      </c>
      <c r="M4" s="174"/>
      <c r="P4" s="176" t="s">
        <v>6</v>
      </c>
      <c r="Q4" s="176"/>
      <c r="R4" s="176"/>
      <c r="S4" s="177" t="s">
        <v>7</v>
      </c>
      <c r="T4" s="178"/>
      <c r="U4" s="176" t="s">
        <v>8</v>
      </c>
      <c r="W4" s="234" t="s">
        <v>7</v>
      </c>
    </row>
    <row r="5" spans="1:26" ht="19.5" customHeight="1" x14ac:dyDescent="0.2">
      <c r="A5" s="102"/>
      <c r="B5" s="214"/>
      <c r="C5" s="102"/>
      <c r="D5" s="191"/>
      <c r="E5" s="102"/>
      <c r="F5" s="108" t="s">
        <v>9</v>
      </c>
      <c r="G5" s="108" t="s">
        <v>10</v>
      </c>
      <c r="H5" s="102"/>
      <c r="I5" s="215"/>
      <c r="J5" s="102"/>
      <c r="K5" s="103"/>
      <c r="L5" s="109" t="s">
        <v>11</v>
      </c>
      <c r="M5" s="107"/>
      <c r="Q5" s="110" t="s">
        <v>12</v>
      </c>
      <c r="R5" s="110" t="s">
        <v>13</v>
      </c>
      <c r="S5" s="111" t="s">
        <v>14</v>
      </c>
      <c r="U5" s="112" t="s">
        <v>15</v>
      </c>
      <c r="V5" s="113">
        <v>21980</v>
      </c>
      <c r="W5" s="114">
        <v>0</v>
      </c>
    </row>
    <row r="6" spans="1:26" ht="19.5" customHeight="1" x14ac:dyDescent="0.2">
      <c r="A6" s="102"/>
      <c r="B6" s="214"/>
      <c r="C6" s="102"/>
      <c r="D6" s="115" t="s">
        <v>16</v>
      </c>
      <c r="E6" s="102"/>
      <c r="F6" s="193"/>
      <c r="G6" s="192" t="str">
        <f>IF(F6="","",MAX(0,$F6-IF($F6&lt;$V$5,0,$W$6*IF($F6&lt;=$V$6,MAX(0,MIN($F6,$V$6)),$F6)))-(MAX(0,MIN($F6,$R$7)-$R$6)*$S$7+MAX(0,MIN($F6,$R$8)-$R$7)*$S$8+MAX(0,MIN($F6,$R$9)-$R$8)*$S$9+MAX(0,$F6-$R$9)*$S$10))</f>
        <v/>
      </c>
      <c r="H6" s="115"/>
      <c r="I6" s="216"/>
      <c r="J6" s="102"/>
      <c r="K6" s="103"/>
      <c r="L6" s="116"/>
      <c r="M6" s="107"/>
      <c r="Q6" s="117">
        <v>0</v>
      </c>
      <c r="R6" s="118">
        <v>18200</v>
      </c>
      <c r="S6" s="119">
        <v>0</v>
      </c>
      <c r="U6" s="120" t="s">
        <v>17</v>
      </c>
      <c r="V6" s="121">
        <v>27475</v>
      </c>
      <c r="W6" s="122">
        <v>0.02</v>
      </c>
    </row>
    <row r="7" spans="1:26" ht="19.5" customHeight="1" x14ac:dyDescent="0.2">
      <c r="A7" s="102"/>
      <c r="B7" s="214"/>
      <c r="C7" s="102"/>
      <c r="D7" s="115" t="s">
        <v>18</v>
      </c>
      <c r="E7" s="102"/>
      <c r="F7" s="194"/>
      <c r="G7" s="192" t="str">
        <f>IF(F7="","",MAX(0,$F7-IF($F7&lt;$V$5,0,$W$6*IF($F7&lt;=$V$6,MAX(0,MIN($F7,$V$6)),$F7)))-(MAX(0,MIN($F7,$R$7)-$R$6)*$S$7+MAX(0,MIN($F7,$R$8)-$R$7)*$S$8+MAX(0,MIN($F7,$R$9)-$R$8)*$S$9+MAX(0,$F7-$R$9)*$S$10))</f>
        <v/>
      </c>
      <c r="H7" s="115"/>
      <c r="I7" s="217"/>
      <c r="J7" s="102"/>
      <c r="K7" s="103"/>
      <c r="L7" s="116"/>
      <c r="M7" s="107"/>
      <c r="Q7" s="123">
        <f t="shared" ref="Q7:Q10" si="0">R6+1</f>
        <v>18201</v>
      </c>
      <c r="R7" s="124">
        <v>37000</v>
      </c>
      <c r="S7" s="125">
        <v>0.19</v>
      </c>
      <c r="Y7" s="106" t="s">
        <v>88</v>
      </c>
      <c r="Z7" s="235">
        <f>F6</f>
        <v>0</v>
      </c>
    </row>
    <row r="8" spans="1:26" ht="19.5" customHeight="1" x14ac:dyDescent="0.2">
      <c r="B8" s="218"/>
      <c r="C8" s="126"/>
      <c r="D8" s="115" t="s">
        <v>19</v>
      </c>
      <c r="E8" s="126"/>
      <c r="F8" s="195"/>
      <c r="G8" s="192" t="str">
        <f>IF(F8="","",MAX(0,$F8-IF($F8&lt;$V$5,0,$W$6*IF($F8&lt;=$V$6,MAX(0,MIN($F8,$V$6)),$F8)))-(MAX(0,MIN($F8,$R$7)-$R$6)*$S$7+MAX(0,MIN($F8,$R$8)-$R$7)*$S$8+MAX(0,MIN($F8,$R$9)-$R$8)*$S$9+MAX(0,$F8-$R$9)*$S$10))</f>
        <v/>
      </c>
      <c r="H8" s="151"/>
      <c r="I8" s="217"/>
      <c r="J8" s="103"/>
      <c r="K8" s="103"/>
      <c r="L8" s="116"/>
      <c r="M8" s="107"/>
      <c r="Q8" s="123">
        <f t="shared" si="0"/>
        <v>37001</v>
      </c>
      <c r="R8" s="124">
        <v>90000</v>
      </c>
      <c r="S8" s="125">
        <v>0.32500000000000001</v>
      </c>
      <c r="U8" s="105" t="s">
        <v>20</v>
      </c>
      <c r="V8" s="127">
        <v>12</v>
      </c>
      <c r="Y8" s="106" t="s">
        <v>89</v>
      </c>
      <c r="Z8" s="106">
        <f>IF($F6&lt;$V$5,0,$W$6*IF($F6&lt;=$V$6,MAX(0,MIN($F6,$V$6)),$F6))</f>
        <v>0</v>
      </c>
    </row>
    <row r="9" spans="1:26" ht="19.5" customHeight="1" x14ac:dyDescent="0.2">
      <c r="A9" s="102"/>
      <c r="B9" s="214"/>
      <c r="C9" s="102"/>
      <c r="D9" s="115" t="s">
        <v>21</v>
      </c>
      <c r="E9" s="102"/>
      <c r="F9" s="196"/>
      <c r="G9" s="192" t="str">
        <f>IF(F9="","",MAX(0,$F9-IF($F9&lt;$V$5,0,$W$6*IF($F9&lt;=$V$6,MAX(0,MIN($F9,$V$6)),$F9)))-(MAX(0,MIN($F9,$R$7)-$R$6)*$S$7+MAX(0,MIN($F9,$R$8)-$R$7)*$S$8+MAX(0,MIN($F9,$R$9)-$R$8)*$S$9+MAX(0,$F9-$R$9)*$S$10))</f>
        <v/>
      </c>
      <c r="H9" s="151"/>
      <c r="I9" s="216"/>
      <c r="J9" s="102"/>
      <c r="K9" s="103"/>
      <c r="L9" s="116"/>
      <c r="M9" s="107"/>
      <c r="Q9" s="123">
        <f t="shared" si="0"/>
        <v>90001</v>
      </c>
      <c r="R9" s="124">
        <v>180000</v>
      </c>
      <c r="S9" s="125">
        <v>0.37</v>
      </c>
      <c r="V9" s="128"/>
      <c r="Y9" s="106" t="s">
        <v>90</v>
      </c>
      <c r="Z9" s="106">
        <f>MAX(0,MIN($F6,$R$7)-$R$6)*$S$7</f>
        <v>3572</v>
      </c>
    </row>
    <row r="10" spans="1:26" ht="19.5" customHeight="1" x14ac:dyDescent="0.2">
      <c r="A10" s="102"/>
      <c r="B10" s="214"/>
      <c r="C10" s="102"/>
      <c r="D10" s="115" t="s">
        <v>22</v>
      </c>
      <c r="E10" s="126"/>
      <c r="F10" s="197"/>
      <c r="G10" s="192">
        <f>$F10*(1-$S$12)</f>
        <v>0</v>
      </c>
      <c r="H10" s="151"/>
      <c r="I10" s="215"/>
      <c r="J10" s="102"/>
      <c r="K10" s="103"/>
      <c r="L10" s="107"/>
      <c r="M10" s="107"/>
      <c r="Q10" s="129">
        <f t="shared" si="0"/>
        <v>180001</v>
      </c>
      <c r="R10" s="130"/>
      <c r="S10" s="131">
        <v>0.45</v>
      </c>
      <c r="Y10" s="106" t="s">
        <v>91</v>
      </c>
      <c r="Z10" s="106">
        <f>MAX(0,MIN($F6,$R$8)-$R$7)*$S$8</f>
        <v>17225</v>
      </c>
    </row>
    <row r="11" spans="1:26" ht="19.5" customHeight="1" x14ac:dyDescent="0.2">
      <c r="A11" s="102"/>
      <c r="B11" s="214"/>
      <c r="C11" s="102"/>
      <c r="D11" s="115" t="s">
        <v>87</v>
      </c>
      <c r="E11" s="102"/>
      <c r="F11" s="198"/>
      <c r="G11" s="199">
        <f>$F11*(1-$S$13)</f>
        <v>0</v>
      </c>
      <c r="H11" s="189"/>
      <c r="I11" s="215"/>
      <c r="J11" s="102"/>
      <c r="K11" s="103"/>
      <c r="L11" s="107"/>
      <c r="M11" s="107"/>
      <c r="R11" s="132"/>
      <c r="T11" s="133"/>
      <c r="Y11" s="106" t="s">
        <v>92</v>
      </c>
      <c r="Z11" s="106">
        <f>MAX(0,MIN($F6,$R$9)-$R$8)*$S$9</f>
        <v>33300</v>
      </c>
    </row>
    <row r="12" spans="1:26" ht="19.5" customHeight="1" x14ac:dyDescent="0.2">
      <c r="A12" s="102"/>
      <c r="B12" s="214"/>
      <c r="C12" s="102"/>
      <c r="D12" s="134" t="s">
        <v>24</v>
      </c>
      <c r="E12" s="102"/>
      <c r="F12" s="276">
        <f>SUM(G6:G11)</f>
        <v>0</v>
      </c>
      <c r="G12" s="276"/>
      <c r="H12" s="192">
        <f>F12/$V$8</f>
        <v>0</v>
      </c>
      <c r="I12" s="215"/>
      <c r="J12" s="102"/>
      <c r="K12" s="103"/>
      <c r="L12" s="107"/>
      <c r="M12" s="107"/>
      <c r="P12" s="105" t="s">
        <v>25</v>
      </c>
      <c r="S12" s="135">
        <v>0.2</v>
      </c>
      <c r="Y12" s="106" t="s">
        <v>93</v>
      </c>
      <c r="Z12" s="106">
        <f>MAX(0,$F6-$R$9)*$S$10</f>
        <v>0</v>
      </c>
    </row>
    <row r="13" spans="1:26" ht="19.5" hidden="1" customHeight="1" x14ac:dyDescent="0.2">
      <c r="A13" s="102"/>
      <c r="B13" s="214"/>
      <c r="C13" s="102"/>
      <c r="D13" s="115" t="s">
        <v>71</v>
      </c>
      <c r="E13" s="136"/>
      <c r="F13" s="275">
        <f>COUNTIFS($F$6:$F$9,"&gt;0")</f>
        <v>0</v>
      </c>
      <c r="G13" s="275"/>
      <c r="H13" s="275"/>
      <c r="I13" s="215"/>
      <c r="J13" s="102"/>
      <c r="K13" s="103"/>
      <c r="L13" s="107"/>
      <c r="M13" s="107"/>
      <c r="P13" s="105" t="s">
        <v>27</v>
      </c>
      <c r="S13" s="137">
        <v>0</v>
      </c>
      <c r="T13" s="128"/>
      <c r="V13" s="133"/>
    </row>
    <row r="14" spans="1:26" ht="19.5" customHeight="1" x14ac:dyDescent="0.2">
      <c r="A14" s="102"/>
      <c r="B14" s="214"/>
      <c r="C14" s="102"/>
      <c r="D14" s="138"/>
      <c r="E14" s="102"/>
      <c r="F14" s="126"/>
      <c r="G14" s="139"/>
      <c r="H14" s="190"/>
      <c r="I14" s="215"/>
      <c r="J14" s="102"/>
      <c r="K14" s="103"/>
      <c r="L14" s="107"/>
      <c r="M14" s="107"/>
      <c r="P14" s="105" t="s">
        <v>28</v>
      </c>
      <c r="Q14" s="140"/>
      <c r="R14" s="140"/>
      <c r="S14" s="141">
        <v>0.03</v>
      </c>
      <c r="T14" s="128"/>
      <c r="V14" s="142"/>
      <c r="Y14" s="236" t="s">
        <v>94</v>
      </c>
      <c r="Z14" s="237">
        <f>Z7-Z8-Z9-Z10-Z11-Z12</f>
        <v>-54097</v>
      </c>
    </row>
    <row r="15" spans="1:26" s="175" customFormat="1" ht="20.25" customHeight="1" x14ac:dyDescent="0.2">
      <c r="A15" s="171"/>
      <c r="B15" s="219">
        <f>B4+1</f>
        <v>2</v>
      </c>
      <c r="C15" s="208" t="s">
        <v>29</v>
      </c>
      <c r="D15" s="208"/>
      <c r="E15" s="208"/>
      <c r="F15" s="208"/>
      <c r="G15" s="208"/>
      <c r="H15" s="261" t="s">
        <v>66</v>
      </c>
      <c r="I15" s="262"/>
      <c r="J15" s="171"/>
      <c r="K15" s="172"/>
      <c r="L15" s="174"/>
      <c r="M15" s="174"/>
      <c r="P15" s="176"/>
      <c r="Q15" s="176"/>
      <c r="R15" s="176"/>
      <c r="S15" s="176"/>
      <c r="T15" s="179"/>
    </row>
    <row r="16" spans="1:26" ht="18.75" customHeight="1" x14ac:dyDescent="0.2">
      <c r="A16" s="102"/>
      <c r="B16" s="214"/>
      <c r="C16" s="102"/>
      <c r="D16" s="115" t="s">
        <v>31</v>
      </c>
      <c r="E16" s="102"/>
      <c r="F16" s="269"/>
      <c r="G16" s="271"/>
      <c r="H16" s="151"/>
      <c r="I16" s="215"/>
      <c r="J16" s="102"/>
      <c r="K16" s="103"/>
      <c r="L16" s="107"/>
      <c r="M16" s="107"/>
      <c r="R16" s="143" t="s">
        <v>31</v>
      </c>
      <c r="S16" s="144" t="s">
        <v>32</v>
      </c>
      <c r="T16" s="145" t="s">
        <v>33</v>
      </c>
    </row>
    <row r="17" spans="1:25" ht="18.75" customHeight="1" x14ac:dyDescent="0.2">
      <c r="A17" s="102"/>
      <c r="B17" s="214"/>
      <c r="C17" s="102"/>
      <c r="D17" s="115" t="s">
        <v>35</v>
      </c>
      <c r="E17" s="102"/>
      <c r="F17" s="273"/>
      <c r="G17" s="274"/>
      <c r="H17" s="151"/>
      <c r="I17" s="215"/>
      <c r="J17" s="102"/>
      <c r="K17" s="103"/>
      <c r="L17" s="107"/>
      <c r="M17" s="107"/>
      <c r="R17" s="146" t="s">
        <v>34</v>
      </c>
      <c r="S17" s="147">
        <f>'ADDITIONAL INFO'!AJ29</f>
        <v>2626</v>
      </c>
      <c r="T17" s="148">
        <f>'ADDITIONAL INFO'!AK29</f>
        <v>433</v>
      </c>
      <c r="U17" s="149"/>
      <c r="V17" s="149"/>
    </row>
    <row r="18" spans="1:25" ht="18.75" hidden="1" customHeight="1" x14ac:dyDescent="0.2">
      <c r="A18" s="102"/>
      <c r="B18" s="214"/>
      <c r="C18" s="102"/>
      <c r="D18" s="115" t="s">
        <v>37</v>
      </c>
      <c r="E18" s="126"/>
      <c r="F18" s="265">
        <v>0</v>
      </c>
      <c r="G18" s="266"/>
      <c r="H18" s="151"/>
      <c r="I18" s="220"/>
      <c r="J18" s="102"/>
      <c r="K18" s="103"/>
      <c r="L18" s="107"/>
      <c r="M18" s="107"/>
      <c r="R18" s="150" t="s">
        <v>36</v>
      </c>
      <c r="S18" s="147">
        <f>'ADDITIONAL INFO'!AJ30</f>
        <v>1279</v>
      </c>
      <c r="T18" s="148">
        <f>'ADDITIONAL INFO'!AK30</f>
        <v>433</v>
      </c>
      <c r="U18" s="149"/>
      <c r="V18" s="149"/>
    </row>
    <row r="19" spans="1:25" ht="18.75" customHeight="1" x14ac:dyDescent="0.2">
      <c r="A19" s="102"/>
      <c r="B19" s="214"/>
      <c r="C19" s="102"/>
      <c r="D19" s="115" t="s">
        <v>86</v>
      </c>
      <c r="E19" s="102"/>
      <c r="F19" s="267"/>
      <c r="G19" s="268"/>
      <c r="H19" s="200" t="str">
        <f ca="1">IFERROR(IF($F$19&gt;$S$23,$F$19,$S$23),"")</f>
        <v/>
      </c>
      <c r="I19" s="215"/>
      <c r="J19" s="102"/>
      <c r="K19" s="103"/>
      <c r="L19" s="107"/>
      <c r="M19" s="107"/>
      <c r="R19" s="150" t="s">
        <v>38</v>
      </c>
      <c r="S19" s="147">
        <f>'ADDITIONAL INFO'!AJ31</f>
        <v>2626</v>
      </c>
      <c r="T19" s="148">
        <f>'ADDITIONAL INFO'!AK31</f>
        <v>433</v>
      </c>
      <c r="U19" s="149"/>
      <c r="V19" s="149"/>
    </row>
    <row r="20" spans="1:25" ht="18.75" customHeight="1" x14ac:dyDescent="0.2">
      <c r="A20" s="102"/>
      <c r="B20" s="214"/>
      <c r="C20" s="102"/>
      <c r="D20" s="136"/>
      <c r="E20" s="102"/>
      <c r="F20" s="151"/>
      <c r="G20" s="151"/>
      <c r="H20" s="151"/>
      <c r="I20" s="215"/>
      <c r="J20" s="102"/>
      <c r="K20" s="103"/>
      <c r="L20" s="107"/>
      <c r="M20" s="107"/>
      <c r="R20" s="150" t="s">
        <v>40</v>
      </c>
      <c r="S20" s="147">
        <f>'ADDITIONAL INFO'!AJ32</f>
        <v>1279</v>
      </c>
      <c r="T20" s="148">
        <f>'ADDITIONAL INFO'!AK32</f>
        <v>433</v>
      </c>
      <c r="U20" s="149"/>
      <c r="V20" s="149"/>
    </row>
    <row r="21" spans="1:25" ht="18.75" customHeight="1" x14ac:dyDescent="0.2">
      <c r="A21" s="102"/>
      <c r="B21" s="214"/>
      <c r="C21" s="102"/>
      <c r="D21" s="136"/>
      <c r="E21" s="102"/>
      <c r="F21" s="272" t="s">
        <v>66</v>
      </c>
      <c r="G21" s="272"/>
      <c r="H21" s="151"/>
      <c r="I21" s="215"/>
      <c r="J21" s="102"/>
      <c r="K21" s="103"/>
      <c r="L21" s="107"/>
      <c r="M21" s="107"/>
      <c r="R21" s="152" t="s">
        <v>41</v>
      </c>
      <c r="S21" s="147">
        <f>'ADDITIONAL INFO'!AJ33</f>
        <v>1279</v>
      </c>
      <c r="T21" s="148">
        <f>'ADDITIONAL INFO'!AK33</f>
        <v>433</v>
      </c>
      <c r="U21" s="149"/>
      <c r="V21" s="149"/>
    </row>
    <row r="22" spans="1:25" ht="18.75" customHeight="1" x14ac:dyDescent="0.2">
      <c r="A22" s="102"/>
      <c r="B22" s="214"/>
      <c r="C22" s="102"/>
      <c r="D22" s="115" t="s">
        <v>68</v>
      </c>
      <c r="E22" s="102"/>
      <c r="F22" s="269"/>
      <c r="G22" s="270"/>
      <c r="H22" s="200">
        <f>$F$22</f>
        <v>0</v>
      </c>
      <c r="I22" s="215"/>
      <c r="J22" s="102"/>
      <c r="K22" s="103"/>
      <c r="L22" s="107"/>
      <c r="M22" s="107"/>
      <c r="U22" s="149"/>
      <c r="V22" s="149"/>
    </row>
    <row r="23" spans="1:25" ht="18.75" customHeight="1" x14ac:dyDescent="0.2">
      <c r="A23" s="102"/>
      <c r="B23" s="214"/>
      <c r="C23" s="102"/>
      <c r="D23" s="115" t="s">
        <v>69</v>
      </c>
      <c r="E23" s="102"/>
      <c r="F23" s="269"/>
      <c r="G23" s="271"/>
      <c r="H23" s="151"/>
      <c r="I23" s="215"/>
      <c r="J23" s="102"/>
      <c r="K23" s="153"/>
      <c r="L23" s="154"/>
      <c r="M23" s="154"/>
      <c r="Q23" s="155"/>
      <c r="R23" s="156" t="s">
        <v>43</v>
      </c>
      <c r="S23" s="157" t="e">
        <f ca="1">OFFSET($S$16,MATCH($F$16,$R$17:$R$21,0),0)+IF($F$17=0,0,OFFSET($T$16,MATCH($F$16,$R$17:$R$21,0),0))*$F$17+IF($F$13&lt;=2,0,$F$18)</f>
        <v>#N/A</v>
      </c>
      <c r="T23" s="149"/>
      <c r="U23" s="149"/>
      <c r="V23" s="149"/>
    </row>
    <row r="24" spans="1:25" ht="18.75" customHeight="1" x14ac:dyDescent="0.2">
      <c r="A24" s="102"/>
      <c r="B24" s="214"/>
      <c r="C24" s="102"/>
      <c r="D24" s="115" t="s">
        <v>70</v>
      </c>
      <c r="E24" s="102"/>
      <c r="F24" s="151"/>
      <c r="G24" s="151"/>
      <c r="H24" s="200">
        <f>$F23*$S$14</f>
        <v>0</v>
      </c>
      <c r="I24" s="215"/>
      <c r="J24" s="102"/>
      <c r="K24" s="103"/>
      <c r="L24" s="107"/>
      <c r="M24" s="107"/>
      <c r="T24" s="149"/>
      <c r="U24" s="149"/>
      <c r="V24" s="149"/>
    </row>
    <row r="25" spans="1:25" ht="18.75" customHeight="1" x14ac:dyDescent="0.2">
      <c r="A25" s="102"/>
      <c r="B25" s="214"/>
      <c r="C25" s="102"/>
      <c r="D25" s="158"/>
      <c r="E25" s="102"/>
      <c r="F25" s="159"/>
      <c r="G25" s="139"/>
      <c r="H25" s="190"/>
      <c r="I25" s="215"/>
      <c r="J25" s="102"/>
      <c r="K25" s="103"/>
      <c r="L25" s="107"/>
      <c r="M25" s="107"/>
      <c r="Q25" s="140"/>
      <c r="R25" s="185" t="s">
        <v>73</v>
      </c>
      <c r="S25" s="140"/>
      <c r="T25" s="140"/>
      <c r="U25" s="140"/>
      <c r="V25" s="149"/>
    </row>
    <row r="26" spans="1:25" s="175" customFormat="1" ht="20.25" customHeight="1" x14ac:dyDescent="0.2">
      <c r="A26" s="171"/>
      <c r="B26" s="219">
        <f>B15+1</f>
        <v>3</v>
      </c>
      <c r="C26" s="208" t="s">
        <v>46</v>
      </c>
      <c r="D26" s="208"/>
      <c r="E26" s="208"/>
      <c r="F26" s="208"/>
      <c r="G26" s="208"/>
      <c r="H26" s="261" t="s">
        <v>66</v>
      </c>
      <c r="I26" s="262"/>
      <c r="J26" s="171"/>
      <c r="K26" s="172"/>
      <c r="L26" s="174"/>
      <c r="M26" s="174"/>
      <c r="P26" s="176"/>
      <c r="Q26" s="176"/>
      <c r="R26" s="184">
        <v>15</v>
      </c>
      <c r="S26" s="180"/>
      <c r="T26" s="180"/>
      <c r="U26" s="180"/>
      <c r="V26" s="181"/>
    </row>
    <row r="27" spans="1:25" ht="19.5" customHeight="1" x14ac:dyDescent="0.2">
      <c r="A27" s="102"/>
      <c r="B27" s="214"/>
      <c r="C27" s="102"/>
      <c r="D27" s="102"/>
      <c r="E27" s="102"/>
      <c r="F27" s="139"/>
      <c r="G27" s="139"/>
      <c r="H27" s="201" t="str">
        <f ca="1">IFERROR(H12-H19-H22-H24,"data missing")</f>
        <v>data missing</v>
      </c>
      <c r="I27" s="215"/>
      <c r="J27" s="102"/>
      <c r="K27" s="103"/>
      <c r="L27" s="107"/>
      <c r="M27" s="107"/>
      <c r="Q27" s="140"/>
      <c r="R27" s="184">
        <f>R26+1</f>
        <v>16</v>
      </c>
      <c r="S27" s="140"/>
      <c r="T27" s="140"/>
      <c r="U27" s="140"/>
      <c r="V27" s="149"/>
    </row>
    <row r="28" spans="1:25" ht="19.5" customHeight="1" x14ac:dyDescent="0.2">
      <c r="A28" s="102"/>
      <c r="B28" s="214"/>
      <c r="C28" s="102"/>
      <c r="D28" s="102"/>
      <c r="E28" s="102"/>
      <c r="F28" s="139"/>
      <c r="G28" s="139"/>
      <c r="H28" s="102"/>
      <c r="I28" s="215"/>
      <c r="J28" s="102"/>
      <c r="K28" s="103"/>
      <c r="L28" s="107"/>
      <c r="M28" s="107"/>
      <c r="O28" s="105"/>
      <c r="Q28" s="140"/>
      <c r="R28" s="184">
        <f t="shared" ref="R28:R41" si="1">R27+1</f>
        <v>17</v>
      </c>
      <c r="S28" s="140"/>
      <c r="T28" s="140"/>
      <c r="U28" s="140"/>
      <c r="V28" s="149"/>
    </row>
    <row r="29" spans="1:25" s="175" customFormat="1" ht="20.25" customHeight="1" x14ac:dyDescent="0.2">
      <c r="A29" s="171"/>
      <c r="B29" s="219">
        <f>B26+1</f>
        <v>4</v>
      </c>
      <c r="C29" s="208" t="s">
        <v>85</v>
      </c>
      <c r="D29" s="208"/>
      <c r="E29" s="208"/>
      <c r="F29" s="209"/>
      <c r="G29" s="208"/>
      <c r="H29" s="261" t="s">
        <v>66</v>
      </c>
      <c r="I29" s="263"/>
      <c r="J29" s="171"/>
      <c r="K29" s="172"/>
      <c r="L29" s="174"/>
      <c r="M29" s="174"/>
      <c r="O29" s="176"/>
      <c r="P29" s="176"/>
      <c r="Q29" s="176"/>
      <c r="R29" s="184">
        <f t="shared" si="1"/>
        <v>18</v>
      </c>
      <c r="S29" s="176"/>
      <c r="T29" s="176"/>
      <c r="U29" s="176"/>
      <c r="X29" s="176"/>
      <c r="Y29" s="176"/>
    </row>
    <row r="30" spans="1:25" ht="18.75" customHeight="1" x14ac:dyDescent="0.2">
      <c r="A30" s="136"/>
      <c r="B30" s="221"/>
      <c r="C30" s="136"/>
      <c r="D30" s="115" t="s">
        <v>48</v>
      </c>
      <c r="E30" s="136"/>
      <c r="F30" s="204"/>
      <c r="G30" s="160"/>
      <c r="H30" s="151"/>
      <c r="I30" s="215"/>
      <c r="J30" s="102"/>
      <c r="K30" s="103"/>
      <c r="L30" s="107"/>
      <c r="M30" s="107"/>
      <c r="O30" s="105"/>
      <c r="R30" s="184">
        <f t="shared" si="1"/>
        <v>19</v>
      </c>
      <c r="T30" s="105"/>
    </row>
    <row r="31" spans="1:25" ht="18.75" customHeight="1" x14ac:dyDescent="0.2">
      <c r="A31" s="161"/>
      <c r="B31" s="222"/>
      <c r="C31" s="162"/>
      <c r="D31" s="115" t="s">
        <v>84</v>
      </c>
      <c r="E31" s="162"/>
      <c r="F31" s="205"/>
      <c r="G31" s="151"/>
      <c r="H31" s="151"/>
      <c r="I31" s="223"/>
      <c r="J31" s="102"/>
      <c r="K31" s="103"/>
      <c r="L31" s="107"/>
      <c r="M31" s="107"/>
      <c r="O31" s="105"/>
      <c r="R31" s="184">
        <f t="shared" si="1"/>
        <v>20</v>
      </c>
      <c r="T31" s="105"/>
    </row>
    <row r="32" spans="1:25" ht="18.75" customHeight="1" x14ac:dyDescent="0.2">
      <c r="A32" s="136"/>
      <c r="B32" s="221"/>
      <c r="C32" s="136"/>
      <c r="D32" s="115" t="s">
        <v>72</v>
      </c>
      <c r="E32" s="136"/>
      <c r="F32" s="205"/>
      <c r="G32" s="160"/>
      <c r="H32" s="188"/>
      <c r="I32" s="215"/>
      <c r="J32" s="102"/>
      <c r="K32" s="103"/>
      <c r="L32" s="107"/>
      <c r="M32" s="107"/>
      <c r="O32" s="105"/>
      <c r="R32" s="184">
        <f t="shared" si="1"/>
        <v>21</v>
      </c>
      <c r="T32" s="105"/>
    </row>
    <row r="33" spans="1:29" ht="18.75" customHeight="1" x14ac:dyDescent="0.2">
      <c r="A33" s="136"/>
      <c r="B33" s="221"/>
      <c r="C33" s="136"/>
      <c r="D33" s="115"/>
      <c r="E33" s="136"/>
      <c r="F33" s="163"/>
      <c r="G33" s="151"/>
      <c r="H33" s="188"/>
      <c r="I33" s="215"/>
      <c r="J33" s="102"/>
      <c r="K33" s="103"/>
      <c r="L33" s="107"/>
      <c r="M33" s="107"/>
      <c r="O33" s="105"/>
      <c r="R33" s="184">
        <f t="shared" si="1"/>
        <v>22</v>
      </c>
      <c r="T33" s="105"/>
    </row>
    <row r="34" spans="1:29" ht="18.75" customHeight="1" x14ac:dyDescent="0.2">
      <c r="A34" s="136"/>
      <c r="B34" s="221"/>
      <c r="C34" s="136"/>
      <c r="D34" s="115" t="s">
        <v>73</v>
      </c>
      <c r="E34" s="136"/>
      <c r="F34" s="206"/>
      <c r="G34" s="160"/>
      <c r="H34" s="202" t="str">
        <f>IF(F34*$V$8=0,"",F34*$V$8)</f>
        <v/>
      </c>
      <c r="I34" s="215"/>
      <c r="J34" s="102"/>
      <c r="K34" s="103"/>
      <c r="L34" s="107"/>
      <c r="M34" s="107"/>
      <c r="O34" s="105"/>
      <c r="R34" s="184">
        <f t="shared" si="1"/>
        <v>23</v>
      </c>
      <c r="T34" s="105"/>
    </row>
    <row r="35" spans="1:29" ht="18.75" customHeight="1" x14ac:dyDescent="0.2">
      <c r="A35" s="136"/>
      <c r="B35" s="221"/>
      <c r="C35" s="136"/>
      <c r="D35" s="115" t="s">
        <v>53</v>
      </c>
      <c r="E35" s="136"/>
      <c r="F35" s="207"/>
      <c r="G35" s="160"/>
      <c r="H35" s="203" t="str">
        <f>IF(F35/$V$8=0,"",F35/$V$8)</f>
        <v/>
      </c>
      <c r="I35" s="215"/>
      <c r="J35" s="102"/>
      <c r="K35" s="103"/>
      <c r="L35" s="107"/>
      <c r="M35" s="107"/>
      <c r="O35" s="105"/>
      <c r="R35" s="184">
        <f t="shared" si="1"/>
        <v>24</v>
      </c>
      <c r="T35" s="105"/>
    </row>
    <row r="36" spans="1:29" ht="18.75" customHeight="1" x14ac:dyDescent="0.2">
      <c r="A36" s="136"/>
      <c r="B36" s="221"/>
      <c r="C36" s="136"/>
      <c r="D36" s="115"/>
      <c r="E36" s="136"/>
      <c r="F36" s="151"/>
      <c r="G36" s="151"/>
      <c r="H36" s="151"/>
      <c r="I36" s="215"/>
      <c r="J36" s="102"/>
      <c r="K36" s="103"/>
      <c r="L36" s="107"/>
      <c r="M36" s="107"/>
      <c r="O36" s="105"/>
      <c r="R36" s="184">
        <f t="shared" si="1"/>
        <v>25</v>
      </c>
      <c r="T36" s="105"/>
    </row>
    <row r="37" spans="1:29" ht="18.75" customHeight="1" x14ac:dyDescent="0.2">
      <c r="A37" s="136"/>
      <c r="B37" s="221"/>
      <c r="C37" s="136"/>
      <c r="D37" s="115" t="s">
        <v>54</v>
      </c>
      <c r="E37" s="162"/>
      <c r="F37" s="151"/>
      <c r="G37" s="151"/>
      <c r="H37" s="200" t="str">
        <f>IF(OR(ISTEXT($H$35),ISTEXT($H$34)),"",PMT($H$35,$H$34-IF($F$30="Principal and Interest",0,$F$31*$V$8),-$F$32)+15)</f>
        <v/>
      </c>
      <c r="I37" s="224"/>
      <c r="J37" s="138"/>
      <c r="K37" s="103"/>
      <c r="L37" s="107"/>
      <c r="M37" s="107"/>
      <c r="O37" s="105"/>
      <c r="R37" s="184">
        <f t="shared" si="1"/>
        <v>26</v>
      </c>
      <c r="T37" s="105"/>
    </row>
    <row r="38" spans="1:29" ht="18.75" customHeight="1" x14ac:dyDescent="0.2">
      <c r="A38" s="136"/>
      <c r="B38" s="221"/>
      <c r="C38" s="136"/>
      <c r="D38" s="136"/>
      <c r="E38" s="162"/>
      <c r="F38" s="126"/>
      <c r="G38" s="126"/>
      <c r="H38" s="126"/>
      <c r="I38" s="224"/>
      <c r="J38" s="138"/>
      <c r="K38" s="103"/>
      <c r="L38" s="107"/>
      <c r="M38" s="107"/>
      <c r="O38" s="105"/>
      <c r="R38" s="184">
        <f t="shared" si="1"/>
        <v>27</v>
      </c>
      <c r="T38" s="105"/>
    </row>
    <row r="39" spans="1:29" ht="18.75" customHeight="1" x14ac:dyDescent="0.2">
      <c r="A39" s="136"/>
      <c r="B39" s="221"/>
      <c r="C39" s="136"/>
      <c r="D39" s="136"/>
      <c r="E39" s="136"/>
      <c r="F39" s="102"/>
      <c r="G39" s="102"/>
      <c r="H39" s="102"/>
      <c r="I39" s="225"/>
      <c r="J39" s="138"/>
      <c r="K39" s="103"/>
      <c r="L39" s="107"/>
      <c r="M39" s="107"/>
      <c r="R39" s="184">
        <f t="shared" si="1"/>
        <v>28</v>
      </c>
    </row>
    <row r="40" spans="1:29" s="175" customFormat="1" ht="20.25" customHeight="1" x14ac:dyDescent="0.2">
      <c r="A40" s="171"/>
      <c r="B40" s="219">
        <f>B29+1</f>
        <v>5</v>
      </c>
      <c r="C40" s="208" t="s">
        <v>55</v>
      </c>
      <c r="D40" s="208"/>
      <c r="E40" s="208"/>
      <c r="F40" s="208"/>
      <c r="G40" s="209" t="s">
        <v>65</v>
      </c>
      <c r="H40" s="209" t="s">
        <v>66</v>
      </c>
      <c r="I40" s="226" t="s">
        <v>67</v>
      </c>
      <c r="J40" s="171"/>
      <c r="K40" s="172"/>
      <c r="L40" s="174"/>
      <c r="M40" s="174"/>
      <c r="P40" s="176"/>
      <c r="Q40" s="176"/>
      <c r="R40" s="184">
        <f>R39+1</f>
        <v>29</v>
      </c>
      <c r="S40" s="176"/>
    </row>
    <row r="41" spans="1:29" ht="19.5" customHeight="1" x14ac:dyDescent="0.2">
      <c r="A41" s="102"/>
      <c r="B41" s="227"/>
      <c r="C41" s="102"/>
      <c r="D41" s="115" t="s">
        <v>57</v>
      </c>
      <c r="E41" s="102"/>
      <c r="F41" s="102"/>
      <c r="G41" s="203" t="str">
        <f>IF(F35=0,"",MAX(7%,F35+2%))</f>
        <v/>
      </c>
      <c r="H41" s="203" t="str">
        <f>IFERROR(G41/$V$8,"")</f>
        <v/>
      </c>
      <c r="I41" s="228"/>
      <c r="J41" s="102"/>
      <c r="K41" s="103"/>
      <c r="L41" s="107"/>
      <c r="M41" s="107"/>
      <c r="R41" s="184">
        <f t="shared" si="1"/>
        <v>30</v>
      </c>
    </row>
    <row r="42" spans="1:29" ht="19.5" customHeight="1" x14ac:dyDescent="0.2">
      <c r="A42" s="102"/>
      <c r="B42" s="227"/>
      <c r="C42" s="102"/>
      <c r="D42" s="115" t="s">
        <v>54</v>
      </c>
      <c r="E42" s="126"/>
      <c r="F42" s="126"/>
      <c r="G42" s="151"/>
      <c r="H42" s="151"/>
      <c r="I42" s="228"/>
      <c r="J42" s="102"/>
      <c r="K42" s="103"/>
      <c r="L42" s="107"/>
      <c r="M42" s="107"/>
    </row>
    <row r="43" spans="1:29" ht="19.5" customHeight="1" x14ac:dyDescent="0.2">
      <c r="A43" s="102"/>
      <c r="B43" s="227"/>
      <c r="C43" s="102"/>
      <c r="D43" s="115" t="s">
        <v>58</v>
      </c>
      <c r="E43" s="102"/>
      <c r="F43" s="102"/>
      <c r="G43" s="151"/>
      <c r="H43" s="201" t="str">
        <f>IFERROR(IF(OR(ISTEXT($H$35),ISTEXT($H$34)),"",PMT($H$35,$H$34-IF($F$30="Principal and Interest",0,$F$31*$V$8),-$F$32))+15,"")</f>
        <v/>
      </c>
      <c r="I43" s="228"/>
      <c r="J43" s="102"/>
      <c r="K43" s="103"/>
      <c r="L43" s="107"/>
      <c r="M43" s="107"/>
    </row>
    <row r="44" spans="1:29" ht="19.5" customHeight="1" x14ac:dyDescent="0.2">
      <c r="A44" s="102"/>
      <c r="B44" s="227"/>
      <c r="C44" s="102"/>
      <c r="D44" s="115" t="s">
        <v>59</v>
      </c>
      <c r="E44" s="102"/>
      <c r="F44" s="102"/>
      <c r="G44" s="151"/>
      <c r="H44" s="201" t="str">
        <f>IFERROR(IF(OR(ISTEXT($H$35),ISTEXT($H$34)),"",PMT($H$41,$H$34-IF($F$30="Principal and Interest",0,$F$31*$V$8),-$F$32))+15,"")</f>
        <v/>
      </c>
      <c r="I44" s="228"/>
      <c r="J44" s="102"/>
      <c r="K44" s="103"/>
      <c r="L44" s="107"/>
      <c r="M44" s="107"/>
    </row>
    <row r="45" spans="1:29" ht="19.5" customHeight="1" x14ac:dyDescent="0.2">
      <c r="A45" s="102"/>
      <c r="B45" s="227"/>
      <c r="C45" s="102"/>
      <c r="D45" s="115"/>
      <c r="E45" s="102"/>
      <c r="F45" s="102"/>
      <c r="G45" s="165"/>
      <c r="H45" s="163"/>
      <c r="I45" s="215"/>
      <c r="J45" s="102"/>
      <c r="K45" s="103"/>
      <c r="L45" s="107"/>
      <c r="M45" s="107"/>
      <c r="U45"/>
      <c r="V45"/>
      <c r="W45"/>
      <c r="X45"/>
      <c r="Y45"/>
      <c r="Z45"/>
      <c r="AA45"/>
      <c r="AB45"/>
      <c r="AC45"/>
    </row>
    <row r="46" spans="1:29" ht="19.5" hidden="1" customHeight="1" x14ac:dyDescent="0.2">
      <c r="A46" s="102"/>
      <c r="B46" s="227"/>
      <c r="C46" s="102"/>
      <c r="D46" s="115" t="s">
        <v>60</v>
      </c>
      <c r="E46" s="102"/>
      <c r="F46" s="166"/>
      <c r="G46" s="167" t="str">
        <f ca="1">IFERROR(H$27/H43,"")</f>
        <v/>
      </c>
      <c r="H46" s="201" t="str">
        <f t="shared" ref="H46:H47" si="2">IF(OR(ISTEXT($H$35),ISTEXT($H$34)),"loan data missing",H$27-H43)</f>
        <v>loan data missing</v>
      </c>
      <c r="I46" s="215"/>
      <c r="J46" s="102"/>
      <c r="K46" s="103"/>
      <c r="L46" s="107"/>
      <c r="M46" s="107"/>
    </row>
    <row r="47" spans="1:29" ht="19.5" customHeight="1" x14ac:dyDescent="0.2">
      <c r="A47" s="102"/>
      <c r="B47" s="227"/>
      <c r="C47" s="102"/>
      <c r="D47" s="115" t="s">
        <v>61</v>
      </c>
      <c r="E47" s="102"/>
      <c r="F47" s="166"/>
      <c r="G47" s="167" t="str">
        <f ca="1">IFERROR(H$27/H44,"")</f>
        <v/>
      </c>
      <c r="H47" s="201" t="str">
        <f t="shared" si="2"/>
        <v>loan data missing</v>
      </c>
      <c r="I47" s="215"/>
      <c r="J47" s="102"/>
      <c r="K47" s="103"/>
      <c r="L47" s="168"/>
      <c r="M47" s="107"/>
    </row>
    <row r="48" spans="1:29" ht="19.5" hidden="1" customHeight="1" x14ac:dyDescent="0.2">
      <c r="A48" s="102"/>
      <c r="B48" s="229"/>
      <c r="C48" s="126"/>
      <c r="D48" s="126"/>
      <c r="E48" s="102"/>
      <c r="F48" s="102"/>
      <c r="G48" s="102"/>
      <c r="H48" s="164"/>
      <c r="I48" s="215"/>
      <c r="J48" s="102"/>
      <c r="K48" s="103"/>
      <c r="L48" s="168"/>
      <c r="M48" s="107"/>
    </row>
    <row r="49" spans="1:19" ht="12.75" x14ac:dyDescent="0.2">
      <c r="A49" s="102"/>
      <c r="B49" s="230"/>
      <c r="C49" s="231"/>
      <c r="D49" s="231"/>
      <c r="E49" s="232"/>
      <c r="F49" s="232"/>
      <c r="G49" s="232"/>
      <c r="H49" s="232"/>
      <c r="I49" s="233"/>
      <c r="J49" s="102"/>
      <c r="K49" s="103"/>
      <c r="L49" s="107"/>
      <c r="M49" s="107"/>
    </row>
    <row r="50" spans="1:19" s="107" customFormat="1" ht="11.25" customHeight="1" x14ac:dyDescent="0.2">
      <c r="A50" s="103"/>
      <c r="B50" s="161"/>
      <c r="C50" s="161"/>
      <c r="D50" s="161"/>
      <c r="E50" s="161"/>
      <c r="F50" s="103"/>
      <c r="G50" s="103"/>
      <c r="H50" s="103"/>
      <c r="I50" s="103"/>
      <c r="J50" s="103"/>
      <c r="K50" s="103"/>
      <c r="P50" s="169"/>
      <c r="Q50" s="169"/>
      <c r="R50" s="169"/>
      <c r="S50" s="169"/>
    </row>
    <row r="51" spans="1:19" ht="11.25" customHeight="1" x14ac:dyDescent="0.2">
      <c r="B51" s="170" t="s">
        <v>100</v>
      </c>
      <c r="C51" s="161"/>
      <c r="E51" s="161"/>
      <c r="H51" s="103"/>
      <c r="I51" s="103"/>
      <c r="J51" s="103"/>
      <c r="K51" s="103"/>
      <c r="L51" s="103"/>
    </row>
    <row r="52" spans="1:19" ht="11.25" customHeight="1" x14ac:dyDescent="0.2">
      <c r="J52" s="103"/>
      <c r="K52" s="103"/>
      <c r="L52" s="103"/>
    </row>
    <row r="53" spans="1:19" ht="11.25" customHeight="1" x14ac:dyDescent="0.2">
      <c r="J53" s="103"/>
      <c r="K53" s="103"/>
      <c r="L53" s="103"/>
    </row>
    <row r="54" spans="1:19" ht="11.25" customHeight="1" x14ac:dyDescent="0.2">
      <c r="K54" s="103"/>
      <c r="L54" s="103"/>
    </row>
  </sheetData>
  <sheetProtection algorithmName="SHA-512" hashValue="6PE7WdyEMmc69ap0Pp7EC3p5Cfj0SMoiZmHRz59eZNjm1O3/xGVXw4pkhsgUt16a3hNI2eMHqZ0+3Cc43b39BQ==" saltValue="U0ebkoCFBzuAcyo+iixyZw==" spinCount="100000" sheet="1" selectLockedCells="1"/>
  <mergeCells count="14">
    <mergeCell ref="H26:I26"/>
    <mergeCell ref="H29:I29"/>
    <mergeCell ref="C2:F2"/>
    <mergeCell ref="F18:G18"/>
    <mergeCell ref="F19:G19"/>
    <mergeCell ref="F22:G22"/>
    <mergeCell ref="F23:G23"/>
    <mergeCell ref="F21:G21"/>
    <mergeCell ref="F17:G17"/>
    <mergeCell ref="F13:H13"/>
    <mergeCell ref="F12:G12"/>
    <mergeCell ref="F16:G16"/>
    <mergeCell ref="H4:I4"/>
    <mergeCell ref="H15:I15"/>
  </mergeCells>
  <conditionalFormatting sqref="F30">
    <cfRule type="expression" dxfId="57" priority="31"/>
  </conditionalFormatting>
  <conditionalFormatting sqref="I47">
    <cfRule type="expression" dxfId="56" priority="30">
      <formula>$I47="PASS"</formula>
    </cfRule>
  </conditionalFormatting>
  <conditionalFormatting sqref="I47">
    <cfRule type="expression" dxfId="55" priority="29">
      <formula>OR($I47="FAIL",$I47="loan data missing")</formula>
    </cfRule>
  </conditionalFormatting>
  <conditionalFormatting sqref="H46:H47">
    <cfRule type="expression" dxfId="54" priority="28">
      <formula>OR($H46&lt;0,ISTEXT($H46))</formula>
    </cfRule>
  </conditionalFormatting>
  <conditionalFormatting sqref="H46:H47">
    <cfRule type="cellIs" dxfId="53" priority="27" operator="greaterThan">
      <formula>0.99999</formula>
    </cfRule>
  </conditionalFormatting>
  <conditionalFormatting sqref="F32">
    <cfRule type="expression" dxfId="52" priority="25">
      <formula>$F32=0</formula>
    </cfRule>
  </conditionalFormatting>
  <conditionalFormatting sqref="F34">
    <cfRule type="expression" dxfId="51" priority="24">
      <formula>$F34=0</formula>
    </cfRule>
  </conditionalFormatting>
  <conditionalFormatting sqref="F35">
    <cfRule type="expression" dxfId="50" priority="23">
      <formula>$F35=0</formula>
    </cfRule>
  </conditionalFormatting>
  <conditionalFormatting sqref="H43">
    <cfRule type="expression" dxfId="49" priority="22">
      <formula>$H43="loan data missing"</formula>
    </cfRule>
  </conditionalFormatting>
  <conditionalFormatting sqref="H44">
    <cfRule type="expression" dxfId="48" priority="21">
      <formula>$H44="loan data missing"</formula>
    </cfRule>
  </conditionalFormatting>
  <conditionalFormatting sqref="H46">
    <cfRule type="expression" dxfId="47" priority="20">
      <formula>$H46="loan data missing"</formula>
    </cfRule>
  </conditionalFormatting>
  <conditionalFormatting sqref="H47">
    <cfRule type="expression" dxfId="46" priority="19">
      <formula>$H47="loan data missing"</formula>
    </cfRule>
  </conditionalFormatting>
  <conditionalFormatting sqref="H37">
    <cfRule type="expression" dxfId="45" priority="18">
      <formula>$H37="loan data missing"</formula>
    </cfRule>
  </conditionalFormatting>
  <conditionalFormatting sqref="H34">
    <cfRule type="expression" dxfId="44" priority="17">
      <formula>$H34="loan term missing"</formula>
    </cfRule>
  </conditionalFormatting>
  <conditionalFormatting sqref="H35">
    <cfRule type="expression" dxfId="43" priority="16">
      <formula>$H35="loan rate missing"</formula>
    </cfRule>
  </conditionalFormatting>
  <conditionalFormatting sqref="F6:F9">
    <cfRule type="expression" dxfId="42" priority="15">
      <formula>$F6=0</formula>
    </cfRule>
  </conditionalFormatting>
  <conditionalFormatting sqref="G6:G9">
    <cfRule type="expression" dxfId="41" priority="14">
      <formula>$F6=0</formula>
    </cfRule>
  </conditionalFormatting>
  <conditionalFormatting sqref="G41">
    <cfRule type="expression" dxfId="40" priority="13">
      <formula>$G41="no loan rate entered"</formula>
    </cfRule>
  </conditionalFormatting>
  <conditionalFormatting sqref="H41">
    <cfRule type="expression" dxfId="39" priority="12">
      <formula>$H41="loan rate missing"</formula>
    </cfRule>
  </conditionalFormatting>
  <conditionalFormatting sqref="H19">
    <cfRule type="expression" dxfId="38" priority="11">
      <formula>$H19="marital status missing"</formula>
    </cfRule>
  </conditionalFormatting>
  <conditionalFormatting sqref="H27">
    <cfRule type="expression" dxfId="37" priority="10">
      <formula>$H27="data missing"</formula>
    </cfRule>
  </conditionalFormatting>
  <conditionalFormatting sqref="F19">
    <cfRule type="expression" dxfId="36" priority="9">
      <formula>$F19=0</formula>
    </cfRule>
  </conditionalFormatting>
  <conditionalFormatting sqref="F10">
    <cfRule type="expression" dxfId="35" priority="8">
      <formula>$F10=0</formula>
    </cfRule>
  </conditionalFormatting>
  <conditionalFormatting sqref="F11">
    <cfRule type="expression" dxfId="34" priority="7">
      <formula>$F11=0</formula>
    </cfRule>
  </conditionalFormatting>
  <conditionalFormatting sqref="H46">
    <cfRule type="expression" dxfId="33" priority="4">
      <formula>$H46="loan data missing"</formula>
    </cfRule>
  </conditionalFormatting>
  <conditionalFormatting sqref="H47">
    <cfRule type="expression" dxfId="32" priority="3">
      <formula>$H47="loan data missing"</formula>
    </cfRule>
  </conditionalFormatting>
  <conditionalFormatting sqref="F31">
    <cfRule type="expression" dxfId="31" priority="1">
      <formula>$F31=0</formula>
    </cfRule>
  </conditionalFormatting>
  <dataValidations count="4">
    <dataValidation type="list" showErrorMessage="1" sqref="F30" xr:uid="{00000000-0002-0000-0000-000000000000}">
      <formula1>"Principal and Interest,Interest Only"</formula1>
    </dataValidation>
    <dataValidation type="list" showErrorMessage="1" sqref="F16" xr:uid="{00000000-0002-0000-0000-000001000000}">
      <formula1>$R$17:$R$21</formula1>
    </dataValidation>
    <dataValidation type="list" allowBlank="1" showInputMessage="1" showErrorMessage="1" sqref="F31" xr:uid="{00000000-0002-0000-0000-000002000000}">
      <formula1>"3,5"</formula1>
    </dataValidation>
    <dataValidation type="list" allowBlank="1" showInputMessage="1" showErrorMessage="1" sqref="F34" xr:uid="{00000000-0002-0000-0000-000003000000}">
      <formula1>$R$26:$R$41</formula1>
    </dataValidation>
  </dataValidations>
  <hyperlinks>
    <hyperlink ref="S4" r:id="rId1" xr:uid="{00000000-0004-0000-0000-000000000000}"/>
    <hyperlink ref="W4" r:id="rId2" xr:uid="{00000000-0004-0000-0000-000001000000}"/>
  </hyperlinks>
  <pageMargins left="0.46" right="0.32" top="0.75" bottom="0.75" header="0.3" footer="0.3"/>
  <pageSetup paperSize="9" scale="69" orientation="portrait" horizontalDpi="4294967293" verticalDpi="4294967293" r:id="rId3"/>
  <colBreaks count="1" manualBreakCount="1">
    <brk id="8" max="1048575" man="1"/>
  </col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U68"/>
  <sheetViews>
    <sheetView showGridLines="0" topLeftCell="V16" zoomScaleNormal="100" workbookViewId="0">
      <selection activeCell="AC43" sqref="AC43"/>
    </sheetView>
  </sheetViews>
  <sheetFormatPr defaultColWidth="9.140625" defaultRowHeight="11.25" customHeight="1" outlineLevelCol="2" x14ac:dyDescent="0.2"/>
  <cols>
    <col min="1" max="1" width="5.42578125" customWidth="1"/>
    <col min="2" max="2" width="39.7109375" customWidth="1"/>
    <col min="3" max="3" width="2.5703125" customWidth="1"/>
    <col min="4" max="4" width="28.140625" customWidth="1"/>
    <col min="5" max="5" width="20.85546875" customWidth="1"/>
    <col min="6" max="6" width="20.7109375" customWidth="1"/>
    <col min="7" max="7" width="3.28515625" customWidth="1"/>
    <col min="8" max="8" width="15.7109375" customWidth="1"/>
    <col min="9" max="9" width="3.28515625" customWidth="1"/>
    <col min="10" max="10" width="8.7109375" customWidth="1"/>
    <col min="11" max="11" width="10.28515625" customWidth="1"/>
    <col min="12" max="12" width="8.7109375" customWidth="1"/>
    <col min="13" max="14" width="8.7109375" customWidth="1" outlineLevel="1"/>
    <col min="15" max="16" width="9.140625" style="2" customWidth="1" outlineLevel="2"/>
    <col min="17" max="17" width="11.85546875" style="2" customWidth="1" outlineLevel="2"/>
    <col min="18" max="18" width="9.140625" style="2" customWidth="1" outlineLevel="2"/>
    <col min="19" max="22" width="9.140625" customWidth="1" outlineLevel="2"/>
    <col min="23" max="23" width="18.7109375" customWidth="1" outlineLevel="2"/>
    <col min="24" max="24" width="14.140625" bestFit="1" customWidth="1" outlineLevel="2"/>
    <col min="25" max="25" width="14.7109375" customWidth="1" outlineLevel="2"/>
    <col min="26" max="26" width="9.140625" customWidth="1" outlineLevel="2"/>
    <col min="27" max="27" width="11" hidden="1" customWidth="1" outlineLevel="2"/>
    <col min="28" max="28" width="9.140625" hidden="1" customWidth="1" outlineLevel="1"/>
    <col min="29" max="29" width="20" customWidth="1" outlineLevel="1"/>
    <col min="30" max="30" width="14.140625" bestFit="1" customWidth="1" outlineLevel="1"/>
    <col min="31" max="31" width="9.140625" customWidth="1" outlineLevel="1"/>
    <col min="32" max="32" width="11.85546875" customWidth="1" outlineLevel="1"/>
    <col min="33" max="33" width="6.5703125" customWidth="1" outlineLevel="1"/>
    <col min="34" max="34" width="9.28515625" customWidth="1" outlineLevel="1"/>
    <col min="35" max="35" width="11.7109375" customWidth="1" outlineLevel="1"/>
    <col min="36" max="36" width="6.5703125" customWidth="1" outlineLevel="1"/>
    <col min="37" max="38" width="9.28515625" customWidth="1" outlineLevel="1"/>
    <col min="39" max="39" width="11.28515625" customWidth="1" outlineLevel="1"/>
    <col min="40" max="40" width="6.5703125" customWidth="1" outlineLevel="1"/>
    <col min="41" max="41" width="9.28515625" customWidth="1" outlineLevel="1"/>
    <col min="42" max="42" width="9.140625" customWidth="1" outlineLevel="1"/>
    <col min="43" max="43" width="10.5703125" customWidth="1" outlineLevel="1"/>
    <col min="44" max="44" width="6.5703125" customWidth="1" outlineLevel="1"/>
    <col min="45" max="45" width="9.28515625" customWidth="1" outlineLevel="1"/>
    <col min="46" max="47" width="9.140625" customWidth="1" outlineLevel="1"/>
  </cols>
  <sheetData>
    <row r="1" spans="1:22" ht="34.5" customHeight="1" x14ac:dyDescent="0.2">
      <c r="A1" s="279" t="s">
        <v>0</v>
      </c>
      <c r="B1" s="279"/>
      <c r="C1" s="279"/>
      <c r="D1" s="279"/>
      <c r="E1" s="279"/>
      <c r="F1" s="279"/>
      <c r="G1" s="66"/>
      <c r="H1" s="66"/>
      <c r="I1" s="66"/>
      <c r="J1" s="66"/>
      <c r="K1" s="88"/>
      <c r="L1" s="88"/>
      <c r="M1" s="88"/>
      <c r="N1" s="88"/>
      <c r="O1" s="66"/>
      <c r="P1" s="66"/>
      <c r="Q1" s="66"/>
      <c r="R1" s="66"/>
      <c r="S1" s="66"/>
      <c r="T1" s="52"/>
    </row>
    <row r="2" spans="1:22" ht="12.75" x14ac:dyDescent="0.2">
      <c r="A2" s="51"/>
      <c r="B2" s="50"/>
      <c r="C2" s="50"/>
      <c r="D2" s="50"/>
      <c r="E2" s="50"/>
      <c r="F2" s="50"/>
      <c r="G2" s="50"/>
      <c r="H2" s="50"/>
      <c r="I2" s="1"/>
      <c r="S2" s="4"/>
    </row>
    <row r="3" spans="1:22" ht="15" x14ac:dyDescent="0.2">
      <c r="A3" s="5">
        <v>1</v>
      </c>
      <c r="B3" s="68" t="s">
        <v>1</v>
      </c>
      <c r="C3" s="6"/>
      <c r="D3" s="89" t="s">
        <v>2</v>
      </c>
      <c r="E3" s="7" t="s">
        <v>65</v>
      </c>
      <c r="F3" s="7" t="s">
        <v>66</v>
      </c>
      <c r="G3" s="53"/>
      <c r="H3" s="53"/>
      <c r="I3" s="1"/>
      <c r="K3" s="8" t="s">
        <v>5</v>
      </c>
      <c r="O3" s="2" t="s">
        <v>6</v>
      </c>
      <c r="R3" s="9" t="s">
        <v>7</v>
      </c>
      <c r="S3" s="10"/>
      <c r="T3" s="2" t="s">
        <v>8</v>
      </c>
      <c r="V3" s="9" t="s">
        <v>7</v>
      </c>
    </row>
    <row r="4" spans="1:22" ht="12.75" x14ac:dyDescent="0.2">
      <c r="A4" s="51"/>
      <c r="B4" s="50"/>
      <c r="C4" s="50"/>
      <c r="D4" s="56" t="s">
        <v>9</v>
      </c>
      <c r="E4" s="56" t="s">
        <v>10</v>
      </c>
      <c r="F4" s="50"/>
      <c r="G4" s="50"/>
      <c r="H4" s="50"/>
      <c r="I4" s="1"/>
      <c r="K4" s="11" t="s">
        <v>11</v>
      </c>
      <c r="P4" s="12" t="s">
        <v>12</v>
      </c>
      <c r="Q4" s="12" t="s">
        <v>13</v>
      </c>
      <c r="R4" s="13" t="s">
        <v>14</v>
      </c>
      <c r="T4" s="14" t="s">
        <v>15</v>
      </c>
      <c r="U4" s="15">
        <v>21335</v>
      </c>
      <c r="V4" s="16">
        <v>0</v>
      </c>
    </row>
    <row r="5" spans="1:22" ht="20.25" customHeight="1" x14ac:dyDescent="0.2">
      <c r="A5" s="51"/>
      <c r="B5" s="59" t="s">
        <v>16</v>
      </c>
      <c r="C5" s="50"/>
      <c r="D5" s="90">
        <v>0</v>
      </c>
      <c r="E5" s="91">
        <f t="shared" ref="E5:E8" si="0">MAX(0,$D5-IF($D5&lt;$U$4,0,$V$5*IF($D5&lt;=$U$5,MAX(0,MIN($D5,$U$5)-$U$4),$D5))-(MAX(0,MIN($D5,$Q$6)-$Q$5)*$R$6+MAX(0,MIN($D5,$Q$7)-$Q$6)*$R$7+MAX(0,MIN($D5,$Q$8)-$Q$7)*$R$8+MAX(0,$D5-$Q$8)*$R$9))</f>
        <v>0</v>
      </c>
      <c r="F5" s="65"/>
      <c r="G5" s="50"/>
      <c r="H5" s="54"/>
      <c r="I5" s="1"/>
      <c r="K5" s="18"/>
      <c r="P5" s="19">
        <v>0</v>
      </c>
      <c r="Q5" s="20">
        <v>18200</v>
      </c>
      <c r="R5" s="21">
        <v>0</v>
      </c>
      <c r="T5" s="22" t="s">
        <v>17</v>
      </c>
      <c r="U5" s="23">
        <v>26668</v>
      </c>
      <c r="V5" s="24">
        <v>0.02</v>
      </c>
    </row>
    <row r="6" spans="1:22" ht="20.25" customHeight="1" x14ac:dyDescent="0.2">
      <c r="A6" s="51"/>
      <c r="B6" s="59" t="s">
        <v>18</v>
      </c>
      <c r="C6" s="50"/>
      <c r="D6" s="92">
        <v>0</v>
      </c>
      <c r="E6" s="91">
        <f t="shared" si="0"/>
        <v>0</v>
      </c>
      <c r="F6" s="65"/>
      <c r="G6" s="50"/>
      <c r="H6" s="55"/>
      <c r="I6" s="1"/>
      <c r="K6" s="18"/>
      <c r="P6" s="25">
        <f t="shared" ref="P6:P9" si="1">Q5+1</f>
        <v>18201</v>
      </c>
      <c r="Q6" s="26">
        <v>37000</v>
      </c>
      <c r="R6" s="27">
        <v>0.19</v>
      </c>
    </row>
    <row r="7" spans="1:22" ht="20.25" customHeight="1" x14ac:dyDescent="0.2">
      <c r="A7" s="58"/>
      <c r="B7" s="59" t="s">
        <v>19</v>
      </c>
      <c r="C7" s="52"/>
      <c r="D7" s="93">
        <v>0</v>
      </c>
      <c r="E7" s="91">
        <f t="shared" si="0"/>
        <v>0</v>
      </c>
      <c r="F7" s="52"/>
      <c r="G7" s="52"/>
      <c r="H7" s="55"/>
      <c r="K7" s="18"/>
      <c r="P7" s="25">
        <f t="shared" si="1"/>
        <v>37001</v>
      </c>
      <c r="Q7" s="26">
        <v>87000</v>
      </c>
      <c r="R7" s="27">
        <v>0.32500000000000001</v>
      </c>
      <c r="T7" s="2" t="s">
        <v>20</v>
      </c>
      <c r="U7" s="28">
        <v>12</v>
      </c>
    </row>
    <row r="8" spans="1:22" ht="20.25" customHeight="1" x14ac:dyDescent="0.2">
      <c r="A8" s="51"/>
      <c r="B8" s="59" t="s">
        <v>21</v>
      </c>
      <c r="C8" s="50"/>
      <c r="D8" s="94">
        <v>0</v>
      </c>
      <c r="E8" s="91">
        <f t="shared" si="0"/>
        <v>0</v>
      </c>
      <c r="F8" s="50"/>
      <c r="G8" s="50"/>
      <c r="H8" s="54"/>
      <c r="I8" s="1"/>
      <c r="K8" s="18"/>
      <c r="P8" s="25">
        <f t="shared" si="1"/>
        <v>87001</v>
      </c>
      <c r="Q8" s="26">
        <v>180000</v>
      </c>
      <c r="R8" s="27">
        <v>0.37</v>
      </c>
      <c r="U8" s="18"/>
    </row>
    <row r="9" spans="1:22" ht="20.25" customHeight="1" x14ac:dyDescent="0.2">
      <c r="A9" s="51"/>
      <c r="B9" s="60" t="s">
        <v>22</v>
      </c>
      <c r="C9" s="52"/>
      <c r="D9" s="95">
        <v>0</v>
      </c>
      <c r="E9" s="91">
        <f>$D9*(1-$R$11)</f>
        <v>0</v>
      </c>
      <c r="F9" s="50"/>
      <c r="G9" s="50"/>
      <c r="H9" s="50"/>
      <c r="I9" s="1"/>
      <c r="P9" s="29">
        <f t="shared" si="1"/>
        <v>180001</v>
      </c>
      <c r="Q9" s="30"/>
      <c r="R9" s="31">
        <v>0.45</v>
      </c>
    </row>
    <row r="10" spans="1:22" ht="20.25" customHeight="1" x14ac:dyDescent="0.2">
      <c r="A10" s="51"/>
      <c r="B10" s="60" t="s">
        <v>23</v>
      </c>
      <c r="C10" s="50"/>
      <c r="D10" s="96">
        <v>0</v>
      </c>
      <c r="E10" s="91">
        <f>$D10*(1-$R$12)</f>
        <v>0</v>
      </c>
      <c r="F10" s="81"/>
      <c r="G10" s="50"/>
      <c r="H10" s="50"/>
      <c r="I10" s="1"/>
      <c r="Q10" s="32"/>
      <c r="S10" s="10"/>
    </row>
    <row r="11" spans="1:22" ht="20.25" customHeight="1" x14ac:dyDescent="0.2">
      <c r="A11" s="51"/>
      <c r="B11" s="61" t="s">
        <v>24</v>
      </c>
      <c r="C11" s="50"/>
      <c r="D11" s="280">
        <f>SUM(E5:E10)</f>
        <v>0</v>
      </c>
      <c r="E11" s="280"/>
      <c r="F11" s="64">
        <f>D11/$U$7</f>
        <v>0</v>
      </c>
      <c r="G11" s="50"/>
      <c r="H11" s="50"/>
      <c r="I11" s="1"/>
      <c r="O11" s="2" t="s">
        <v>25</v>
      </c>
      <c r="R11" s="33">
        <v>0.2</v>
      </c>
    </row>
    <row r="12" spans="1:22" ht="20.25" customHeight="1" x14ac:dyDescent="0.2">
      <c r="A12" s="51"/>
      <c r="B12" s="62" t="s">
        <v>26</v>
      </c>
      <c r="C12" s="50"/>
      <c r="D12" s="38"/>
      <c r="E12" s="98"/>
      <c r="F12" s="97">
        <f>COUNTIFS($D$5:$D$8,"&gt;0")</f>
        <v>0</v>
      </c>
      <c r="G12" s="50"/>
      <c r="H12" s="50"/>
      <c r="I12" s="1"/>
      <c r="O12" s="2" t="s">
        <v>27</v>
      </c>
      <c r="R12" s="34">
        <v>0</v>
      </c>
      <c r="S12" s="18"/>
      <c r="U12" s="10"/>
    </row>
    <row r="13" spans="1:22" ht="12.75" x14ac:dyDescent="0.2">
      <c r="A13" s="51"/>
      <c r="B13" s="63"/>
      <c r="C13" s="50"/>
      <c r="D13" s="52"/>
      <c r="E13" s="56"/>
      <c r="F13" s="50"/>
      <c r="G13" s="50"/>
      <c r="H13" s="50"/>
      <c r="I13" s="1"/>
      <c r="O13" s="2" t="s">
        <v>28</v>
      </c>
      <c r="P13" s="35"/>
      <c r="Q13" s="35"/>
      <c r="R13" s="36">
        <v>0.03</v>
      </c>
      <c r="S13" s="18"/>
      <c r="U13" s="4"/>
    </row>
    <row r="14" spans="1:22" ht="12.75" x14ac:dyDescent="0.2">
      <c r="A14" s="51"/>
      <c r="B14" s="63"/>
      <c r="C14" s="50"/>
      <c r="D14" s="52"/>
      <c r="E14" s="56"/>
      <c r="F14" s="50"/>
      <c r="G14" s="50"/>
      <c r="H14" s="50"/>
      <c r="I14" s="1"/>
      <c r="P14" s="35"/>
      <c r="Q14" s="35"/>
      <c r="R14" s="238"/>
      <c r="S14" s="18"/>
      <c r="U14" s="4"/>
    </row>
    <row r="15" spans="1:22" ht="15" x14ac:dyDescent="0.2">
      <c r="A15" s="5">
        <f>A3+1</f>
        <v>2</v>
      </c>
      <c r="B15" s="68" t="s">
        <v>29</v>
      </c>
      <c r="C15" s="6"/>
      <c r="D15" s="6"/>
      <c r="E15" s="6"/>
      <c r="F15" s="37" t="s">
        <v>66</v>
      </c>
      <c r="G15" s="53"/>
      <c r="H15" s="53"/>
      <c r="I15" s="1"/>
      <c r="T15" s="240"/>
      <c r="U15" s="240"/>
      <c r="V15" s="240"/>
    </row>
    <row r="16" spans="1:22" ht="12.75" x14ac:dyDescent="0.2">
      <c r="A16" s="51"/>
      <c r="B16" s="50"/>
      <c r="C16" s="50"/>
      <c r="D16" s="56"/>
      <c r="E16" s="56"/>
      <c r="F16" s="50"/>
      <c r="G16" s="50"/>
      <c r="H16" s="50"/>
      <c r="I16" s="1"/>
      <c r="T16" s="240"/>
      <c r="U16" s="240"/>
      <c r="V16" s="240"/>
    </row>
    <row r="17" spans="1:47" ht="20.25" customHeight="1" x14ac:dyDescent="0.2">
      <c r="A17" s="51"/>
      <c r="B17" s="65" t="s">
        <v>30</v>
      </c>
      <c r="C17" s="50"/>
      <c r="D17" s="56"/>
      <c r="E17" s="56"/>
      <c r="F17" s="65"/>
      <c r="G17" s="50"/>
      <c r="H17" s="50"/>
      <c r="I17" s="1"/>
      <c r="T17" s="240"/>
      <c r="U17" s="240"/>
      <c r="V17" s="240"/>
    </row>
    <row r="18" spans="1:47" ht="20.25" customHeight="1" x14ac:dyDescent="0.2">
      <c r="A18" s="51"/>
      <c r="B18" s="65" t="s">
        <v>31</v>
      </c>
      <c r="C18" s="50"/>
      <c r="D18" s="69" t="s">
        <v>34</v>
      </c>
      <c r="E18" s="72"/>
      <c r="F18" s="50"/>
      <c r="G18" s="50"/>
      <c r="H18" s="50"/>
      <c r="I18" s="1"/>
      <c r="T18" s="242"/>
      <c r="U18" s="242"/>
      <c r="V18" s="240"/>
    </row>
    <row r="19" spans="1:47" ht="20.25" customHeight="1" x14ac:dyDescent="0.2">
      <c r="A19" s="51"/>
      <c r="B19" s="65" t="s">
        <v>35</v>
      </c>
      <c r="C19" s="50"/>
      <c r="D19" s="70">
        <v>0</v>
      </c>
      <c r="E19" s="72"/>
      <c r="F19" s="50"/>
      <c r="G19" s="50"/>
      <c r="H19" s="50"/>
      <c r="I19" s="1"/>
      <c r="T19" s="242"/>
      <c r="U19" s="242"/>
      <c r="V19" s="240"/>
    </row>
    <row r="20" spans="1:47" ht="20.25" customHeight="1" x14ac:dyDescent="0.2">
      <c r="A20" s="51"/>
      <c r="B20" s="74" t="s">
        <v>37</v>
      </c>
      <c r="C20" s="52"/>
      <c r="D20" s="69">
        <v>0</v>
      </c>
      <c r="E20" s="52"/>
      <c r="F20" s="52"/>
      <c r="G20" s="50"/>
      <c r="H20" s="56"/>
      <c r="I20" s="1"/>
      <c r="T20" s="242"/>
      <c r="U20" s="242"/>
      <c r="V20" s="240"/>
    </row>
    <row r="21" spans="1:47" ht="20.25" customHeight="1" x14ac:dyDescent="0.2">
      <c r="A21" s="51"/>
      <c r="B21" s="65" t="s">
        <v>39</v>
      </c>
      <c r="C21" s="50"/>
      <c r="D21" s="71">
        <v>0</v>
      </c>
      <c r="E21" s="50"/>
      <c r="F21" s="64">
        <f ca="1">IF($D$21&gt;$AJ$35,$D$21,$AJ$35)</f>
        <v>2626</v>
      </c>
      <c r="G21" s="50"/>
      <c r="H21" s="50"/>
      <c r="I21" s="1"/>
      <c r="T21" s="242"/>
      <c r="U21" s="242"/>
      <c r="V21" s="240"/>
    </row>
    <row r="22" spans="1:47" ht="12.75" x14ac:dyDescent="0.2">
      <c r="A22" s="51"/>
      <c r="B22" s="65"/>
      <c r="C22" s="50"/>
      <c r="D22" s="50"/>
      <c r="E22" s="50"/>
      <c r="F22" s="50"/>
      <c r="G22" s="50"/>
      <c r="H22" s="50"/>
      <c r="I22" s="1"/>
      <c r="T22" s="242"/>
      <c r="U22" s="242"/>
      <c r="V22" s="240"/>
    </row>
    <row r="23" spans="1:47" ht="12.75" x14ac:dyDescent="0.2">
      <c r="A23" s="51"/>
      <c r="B23" s="65"/>
      <c r="C23" s="50"/>
      <c r="D23" s="56" t="s">
        <v>66</v>
      </c>
      <c r="E23" s="56"/>
      <c r="F23" s="50"/>
      <c r="G23" s="50"/>
      <c r="H23" s="50"/>
      <c r="I23" s="1"/>
      <c r="T23" s="38"/>
      <c r="U23" s="38"/>
    </row>
    <row r="24" spans="1:47" ht="20.25" customHeight="1" x14ac:dyDescent="0.3">
      <c r="A24" s="51"/>
      <c r="B24" s="65" t="s">
        <v>42</v>
      </c>
      <c r="C24" s="50"/>
      <c r="D24" s="69"/>
      <c r="E24" s="72"/>
      <c r="F24" s="64">
        <f>$D$24</f>
        <v>0</v>
      </c>
      <c r="G24" s="50"/>
      <c r="H24" s="50"/>
      <c r="I24" s="1"/>
      <c r="J24" s="39"/>
      <c r="K24" s="4"/>
      <c r="L24" s="4"/>
      <c r="P24"/>
      <c r="T24" s="38"/>
      <c r="U24" s="38"/>
      <c r="W24" s="282" t="s">
        <v>96</v>
      </c>
      <c r="X24" s="282"/>
      <c r="Y24" s="282"/>
      <c r="AC24" s="282" t="s">
        <v>97</v>
      </c>
      <c r="AD24" s="282"/>
      <c r="AE24" s="282"/>
    </row>
    <row r="25" spans="1:47" ht="12.75" x14ac:dyDescent="0.2">
      <c r="A25" s="51"/>
      <c r="B25" s="65"/>
      <c r="C25" s="50"/>
      <c r="D25" s="1"/>
      <c r="E25" s="50"/>
      <c r="F25" s="50"/>
      <c r="G25" s="50"/>
      <c r="H25" s="50"/>
      <c r="I25" s="1"/>
      <c r="P25" s="35"/>
      <c r="Q25" s="35"/>
      <c r="R25" s="35"/>
      <c r="S25" s="38"/>
      <c r="T25" s="38"/>
      <c r="U25" s="38"/>
    </row>
    <row r="26" spans="1:47" ht="20.25" customHeight="1" x14ac:dyDescent="0.2">
      <c r="A26" s="51"/>
      <c r="B26" s="65" t="s">
        <v>44</v>
      </c>
      <c r="C26" s="50"/>
      <c r="D26" s="69">
        <v>30000</v>
      </c>
      <c r="E26" s="72"/>
      <c r="F26" s="50"/>
      <c r="G26" s="50"/>
      <c r="H26" s="50"/>
      <c r="I26" s="1"/>
      <c r="S26" s="38"/>
      <c r="T26" s="38"/>
      <c r="U26" s="38"/>
      <c r="W26" s="281"/>
      <c r="X26" s="281"/>
      <c r="Y26" s="281"/>
      <c r="Z26" s="240"/>
      <c r="AA26" s="240"/>
      <c r="AB26" s="240"/>
      <c r="AC26" s="260"/>
      <c r="AD26" s="260"/>
      <c r="AE26" s="260"/>
      <c r="AI26" s="257" t="s">
        <v>98</v>
      </c>
      <c r="AJ26" s="243"/>
      <c r="AK26" s="239"/>
      <c r="AM26" s="257" t="s">
        <v>99</v>
      </c>
      <c r="AN26" s="243"/>
      <c r="AO26" s="239"/>
      <c r="AP26" s="240"/>
      <c r="AQ26" s="257" t="s">
        <v>95</v>
      </c>
      <c r="AR26" s="240"/>
      <c r="AS26" s="240"/>
    </row>
    <row r="27" spans="1:47" ht="20.25" customHeight="1" x14ac:dyDescent="0.2">
      <c r="A27" s="51"/>
      <c r="B27" s="65" t="s">
        <v>45</v>
      </c>
      <c r="C27" s="50"/>
      <c r="D27" s="50"/>
      <c r="E27" s="50"/>
      <c r="F27" s="64">
        <f>$D26*$R$13</f>
        <v>900</v>
      </c>
      <c r="G27" s="50"/>
      <c r="H27" s="50"/>
      <c r="I27" s="1"/>
      <c r="P27" s="35"/>
      <c r="Q27" s="38"/>
      <c r="R27" s="35"/>
      <c r="S27" s="35"/>
      <c r="T27" s="35"/>
      <c r="U27" s="38"/>
      <c r="W27" s="240"/>
      <c r="X27" s="240" t="s">
        <v>76</v>
      </c>
      <c r="Y27" s="240" t="s">
        <v>77</v>
      </c>
      <c r="Z27" s="240"/>
      <c r="AA27" s="240"/>
      <c r="AB27" s="240"/>
      <c r="AD27" t="s">
        <v>76</v>
      </c>
      <c r="AE27" t="s">
        <v>77</v>
      </c>
      <c r="AI27" s="243"/>
      <c r="AJ27" s="244"/>
      <c r="AK27" s="245"/>
      <c r="AM27" s="243"/>
      <c r="AN27" s="244"/>
      <c r="AO27" s="245"/>
      <c r="AP27" s="240"/>
      <c r="AQ27" s="240"/>
      <c r="AR27" s="240"/>
      <c r="AS27" s="240"/>
    </row>
    <row r="28" spans="1:47" ht="12.75" x14ac:dyDescent="0.2">
      <c r="A28" s="51"/>
      <c r="B28" s="50"/>
      <c r="C28" s="50"/>
      <c r="D28" s="56"/>
      <c r="E28" s="56"/>
      <c r="F28" s="1"/>
      <c r="G28" s="50"/>
      <c r="H28" s="50"/>
      <c r="I28" s="1"/>
      <c r="R28" s="35"/>
      <c r="S28" s="35"/>
      <c r="T28" s="35"/>
      <c r="U28" s="38"/>
      <c r="W28" s="240" t="s">
        <v>74</v>
      </c>
      <c r="X28" s="249">
        <v>606</v>
      </c>
      <c r="Y28" s="182">
        <f>ROUNDUP((X28*52)/12,0)</f>
        <v>2626</v>
      </c>
      <c r="Z28" s="240"/>
      <c r="AA28" s="241"/>
      <c r="AB28" s="240"/>
      <c r="AC28" t="s">
        <v>74</v>
      </c>
      <c r="AD28" s="69">
        <v>606</v>
      </c>
      <c r="AE28" s="182">
        <f t="shared" ref="AE28:AE31" si="2">ROUNDUP((AD28*52)/12,0)</f>
        <v>2626</v>
      </c>
      <c r="AI28" s="246" t="s">
        <v>31</v>
      </c>
      <c r="AJ28" s="247" t="s">
        <v>32</v>
      </c>
      <c r="AK28" s="248" t="s">
        <v>33</v>
      </c>
      <c r="AM28" s="246" t="s">
        <v>31</v>
      </c>
      <c r="AN28" s="247" t="s">
        <v>32</v>
      </c>
      <c r="AO28" s="248" t="s">
        <v>33</v>
      </c>
      <c r="AP28" s="240"/>
      <c r="AQ28" s="246" t="s">
        <v>31</v>
      </c>
      <c r="AR28" s="247" t="s">
        <v>32</v>
      </c>
      <c r="AS28" s="248" t="s">
        <v>33</v>
      </c>
    </row>
    <row r="29" spans="1:47" ht="15" x14ac:dyDescent="0.2">
      <c r="A29" s="5">
        <f>A15+1</f>
        <v>3</v>
      </c>
      <c r="B29" s="68" t="s">
        <v>46</v>
      </c>
      <c r="C29" s="6"/>
      <c r="D29" s="6"/>
      <c r="E29" s="6"/>
      <c r="F29" s="37" t="s">
        <v>4</v>
      </c>
      <c r="G29" s="53"/>
      <c r="H29" s="53"/>
      <c r="I29" s="1"/>
      <c r="P29" s="35"/>
      <c r="Q29" s="35"/>
      <c r="R29" s="35"/>
      <c r="S29" s="35"/>
      <c r="T29" s="35"/>
      <c r="U29" s="38"/>
      <c r="W29" s="240" t="s">
        <v>75</v>
      </c>
      <c r="X29" s="249">
        <v>785</v>
      </c>
      <c r="Y29" s="182">
        <f t="shared" ref="Y29:Y31" si="3">ROUNDUP((X29*52)/12,0)</f>
        <v>3402</v>
      </c>
      <c r="Z29" s="240"/>
      <c r="AA29" s="241"/>
      <c r="AB29" s="240"/>
      <c r="AC29" t="s">
        <v>75</v>
      </c>
      <c r="AD29" s="69">
        <v>785</v>
      </c>
      <c r="AE29" s="182">
        <f t="shared" si="2"/>
        <v>3402</v>
      </c>
      <c r="AI29" s="250" t="s">
        <v>34</v>
      </c>
      <c r="AJ29" s="251">
        <f>'ADDITIONAL INFO'!Y28</f>
        <v>2626</v>
      </c>
      <c r="AK29" s="252">
        <f>'ADDITIONAL INFO'!$Y$39</f>
        <v>433</v>
      </c>
      <c r="AM29" s="250" t="s">
        <v>34</v>
      </c>
      <c r="AN29" s="251">
        <f>'ADDITIONAL INFO'!AE28</f>
        <v>2626</v>
      </c>
      <c r="AO29" s="252">
        <f>'ADDITIONAL INFO'!$AE$39</f>
        <v>433</v>
      </c>
      <c r="AP29" s="242"/>
      <c r="AQ29" s="250" t="s">
        <v>34</v>
      </c>
      <c r="AR29" s="251">
        <f t="shared" ref="AR29:AS33" si="4">AN29-AJ29</f>
        <v>0</v>
      </c>
      <c r="AS29" s="258">
        <f t="shared" si="4"/>
        <v>0</v>
      </c>
      <c r="AT29" s="38"/>
      <c r="AU29" s="38"/>
    </row>
    <row r="30" spans="1:47" ht="12.75" x14ac:dyDescent="0.2">
      <c r="A30" s="51"/>
      <c r="B30" s="50"/>
      <c r="C30" s="50"/>
      <c r="D30" s="56"/>
      <c r="E30" s="56"/>
      <c r="F30" s="50"/>
      <c r="G30" s="50"/>
      <c r="H30" s="50"/>
      <c r="I30" s="1"/>
      <c r="P30" s="42"/>
      <c r="Q30" s="35"/>
      <c r="R30" s="35"/>
      <c r="S30" s="35"/>
      <c r="T30" s="35"/>
      <c r="U30" s="38"/>
      <c r="W30" s="240" t="s">
        <v>78</v>
      </c>
      <c r="X30" s="249">
        <v>868</v>
      </c>
      <c r="Y30" s="182">
        <f t="shared" si="3"/>
        <v>3762</v>
      </c>
      <c r="Z30" s="240"/>
      <c r="AA30" s="241"/>
      <c r="AB30" s="240"/>
      <c r="AC30" t="s">
        <v>78</v>
      </c>
      <c r="AD30" s="69">
        <v>868</v>
      </c>
      <c r="AE30" s="182">
        <f t="shared" si="2"/>
        <v>3762</v>
      </c>
      <c r="AI30" s="253" t="s">
        <v>36</v>
      </c>
      <c r="AJ30" s="251">
        <f>'ADDITIONAL INFO'!Y34</f>
        <v>1279</v>
      </c>
      <c r="AK30" s="252">
        <f>'ADDITIONAL INFO'!$Y$39</f>
        <v>433</v>
      </c>
      <c r="AM30" s="253" t="s">
        <v>36</v>
      </c>
      <c r="AN30" s="251">
        <f>'ADDITIONAL INFO'!AE34</f>
        <v>1279</v>
      </c>
      <c r="AO30" s="252">
        <f>'ADDITIONAL INFO'!$AE$39</f>
        <v>433</v>
      </c>
      <c r="AP30" s="242"/>
      <c r="AQ30" s="253" t="s">
        <v>36</v>
      </c>
      <c r="AR30" s="251">
        <f t="shared" si="4"/>
        <v>0</v>
      </c>
      <c r="AS30" s="258">
        <f t="shared" si="4"/>
        <v>0</v>
      </c>
      <c r="AT30" s="38"/>
      <c r="AU30" s="38"/>
    </row>
    <row r="31" spans="1:47" ht="20.25" customHeight="1" x14ac:dyDescent="0.2">
      <c r="A31" s="51"/>
      <c r="B31" s="50"/>
      <c r="C31" s="50"/>
      <c r="D31" s="56"/>
      <c r="E31" s="56"/>
      <c r="F31" s="73">
        <f ca="1">IFERROR(F11-F21-F24-F27,"data missing")</f>
        <v>-3526</v>
      </c>
      <c r="G31" s="50"/>
      <c r="H31" s="50"/>
      <c r="I31" s="1"/>
      <c r="N31" s="2"/>
      <c r="P31" s="35"/>
      <c r="Q31" s="35"/>
      <c r="R31" s="35"/>
      <c r="S31" s="35"/>
      <c r="T31" s="35"/>
      <c r="U31" s="38"/>
      <c r="W31" s="240" t="s">
        <v>79</v>
      </c>
      <c r="X31" s="249">
        <v>930</v>
      </c>
      <c r="Y31" s="182">
        <f t="shared" si="3"/>
        <v>4030</v>
      </c>
      <c r="Z31" s="240"/>
      <c r="AA31" s="241"/>
      <c r="AB31" s="240"/>
      <c r="AC31" t="s">
        <v>79</v>
      </c>
      <c r="AD31" s="69">
        <v>930</v>
      </c>
      <c r="AE31" s="182">
        <f t="shared" si="2"/>
        <v>4030</v>
      </c>
      <c r="AI31" s="253" t="s">
        <v>38</v>
      </c>
      <c r="AJ31" s="251">
        <f>'ADDITIONAL INFO'!Y28</f>
        <v>2626</v>
      </c>
      <c r="AK31" s="252">
        <f>'ADDITIONAL INFO'!$Y$39</f>
        <v>433</v>
      </c>
      <c r="AM31" s="253" t="s">
        <v>38</v>
      </c>
      <c r="AN31" s="251">
        <f>'ADDITIONAL INFO'!AE28</f>
        <v>2626</v>
      </c>
      <c r="AO31" s="252">
        <f>'ADDITIONAL INFO'!$AE$39</f>
        <v>433</v>
      </c>
      <c r="AP31" s="242"/>
      <c r="AQ31" s="253" t="s">
        <v>38</v>
      </c>
      <c r="AR31" s="251">
        <f t="shared" si="4"/>
        <v>0</v>
      </c>
      <c r="AS31" s="258">
        <f t="shared" si="4"/>
        <v>0</v>
      </c>
      <c r="AT31" s="38"/>
      <c r="AU31" s="38"/>
    </row>
    <row r="32" spans="1:47" ht="12.75" x14ac:dyDescent="0.2">
      <c r="A32" s="51"/>
      <c r="B32" s="50"/>
      <c r="C32" s="50"/>
      <c r="D32" s="56"/>
      <c r="E32" s="56"/>
      <c r="F32" s="50"/>
      <c r="G32" s="50"/>
      <c r="H32" s="50"/>
      <c r="I32" s="1"/>
      <c r="N32" s="2"/>
      <c r="S32" s="2"/>
      <c r="T32" s="2"/>
      <c r="W32" s="240"/>
      <c r="X32" s="240"/>
      <c r="Y32" s="240"/>
      <c r="Z32" s="240"/>
      <c r="AA32" s="240"/>
      <c r="AB32" s="240"/>
      <c r="AI32" s="253" t="s">
        <v>40</v>
      </c>
      <c r="AJ32" s="251">
        <f>'ADDITIONAL INFO'!Y34</f>
        <v>1279</v>
      </c>
      <c r="AK32" s="252">
        <f>'ADDITIONAL INFO'!$Y$39</f>
        <v>433</v>
      </c>
      <c r="AM32" s="253" t="s">
        <v>40</v>
      </c>
      <c r="AN32" s="251">
        <f>'ADDITIONAL INFO'!AE34</f>
        <v>1279</v>
      </c>
      <c r="AO32" s="252">
        <f>'ADDITIONAL INFO'!$AE$39</f>
        <v>433</v>
      </c>
      <c r="AP32" s="242"/>
      <c r="AQ32" s="253" t="s">
        <v>40</v>
      </c>
      <c r="AR32" s="251">
        <f t="shared" si="4"/>
        <v>0</v>
      </c>
      <c r="AS32" s="258">
        <f t="shared" si="4"/>
        <v>0</v>
      </c>
      <c r="AT32" s="38"/>
      <c r="AU32" s="38"/>
    </row>
    <row r="33" spans="1:47" ht="15" x14ac:dyDescent="0.2">
      <c r="A33" s="5">
        <f>A29+1</f>
        <v>4</v>
      </c>
      <c r="B33" s="68" t="s">
        <v>47</v>
      </c>
      <c r="C33" s="6"/>
      <c r="D33" s="7"/>
      <c r="E33" s="7" t="s">
        <v>3</v>
      </c>
      <c r="F33" s="7" t="s">
        <v>4</v>
      </c>
      <c r="G33" s="53"/>
      <c r="H33" s="53"/>
      <c r="I33" s="1"/>
      <c r="N33" s="2"/>
      <c r="S33" s="2"/>
      <c r="T33" s="2"/>
      <c r="U33" s="38"/>
      <c r="V33" s="43"/>
      <c r="W33" s="240"/>
      <c r="X33" s="240"/>
      <c r="Y33" s="240"/>
      <c r="Z33" s="240"/>
      <c r="AA33" s="240"/>
      <c r="AB33" s="240"/>
      <c r="AI33" s="254" t="s">
        <v>41</v>
      </c>
      <c r="AJ33" s="255">
        <f>'ADDITIONAL INFO'!Y34</f>
        <v>1279</v>
      </c>
      <c r="AK33" s="256">
        <f>'ADDITIONAL INFO'!$Y$39</f>
        <v>433</v>
      </c>
      <c r="AM33" s="254" t="s">
        <v>41</v>
      </c>
      <c r="AN33" s="255">
        <f>'ADDITIONAL INFO'!AE34</f>
        <v>1279</v>
      </c>
      <c r="AO33" s="256">
        <f>'ADDITIONAL INFO'!$AE$39</f>
        <v>433</v>
      </c>
      <c r="AP33" s="242"/>
      <c r="AQ33" s="254" t="s">
        <v>41</v>
      </c>
      <c r="AR33" s="255">
        <f t="shared" si="4"/>
        <v>0</v>
      </c>
      <c r="AS33" s="259">
        <f t="shared" si="4"/>
        <v>0</v>
      </c>
      <c r="AT33" s="38"/>
      <c r="AU33" s="38"/>
    </row>
    <row r="34" spans="1:47" ht="14.25" x14ac:dyDescent="0.2">
      <c r="A34" s="51"/>
      <c r="B34" s="50"/>
      <c r="C34" s="50"/>
      <c r="D34" s="56"/>
      <c r="E34" s="56"/>
      <c r="F34" s="50"/>
      <c r="G34" s="50"/>
      <c r="H34" s="50"/>
      <c r="I34" s="1"/>
      <c r="N34" s="2"/>
      <c r="S34" s="2"/>
      <c r="T34" s="2"/>
      <c r="U34" s="38"/>
      <c r="V34" s="43"/>
      <c r="W34" t="s">
        <v>36</v>
      </c>
      <c r="X34" s="69">
        <v>295</v>
      </c>
      <c r="Y34" s="182">
        <f t="shared" ref="Y34:Y37" si="5">ROUNDUP((X34*52)/12,0)</f>
        <v>1279</v>
      </c>
      <c r="AC34" t="s">
        <v>36</v>
      </c>
      <c r="AD34" s="69">
        <v>295</v>
      </c>
      <c r="AE34" s="182">
        <f t="shared" ref="AE34:AE37" si="6">ROUNDUP((AD34*52)/12,0)</f>
        <v>1279</v>
      </c>
      <c r="AI34" s="2"/>
      <c r="AJ34" s="2"/>
      <c r="AM34" s="2"/>
      <c r="AN34" s="2"/>
      <c r="AP34" s="38"/>
      <c r="AQ34" s="38"/>
      <c r="AR34" s="38"/>
      <c r="AS34" s="38"/>
      <c r="AT34" s="38"/>
      <c r="AU34" s="38"/>
    </row>
    <row r="35" spans="1:47" ht="20.25" customHeight="1" x14ac:dyDescent="0.2">
      <c r="A35" s="51"/>
      <c r="B35" s="59" t="s">
        <v>48</v>
      </c>
      <c r="C35" s="50"/>
      <c r="D35" s="75" t="s">
        <v>49</v>
      </c>
      <c r="E35" s="72"/>
      <c r="F35" s="50"/>
      <c r="G35" s="1"/>
      <c r="H35" s="1"/>
      <c r="I35" s="1"/>
      <c r="N35" s="2"/>
      <c r="S35" s="2"/>
      <c r="T35" s="2"/>
      <c r="U35" s="38"/>
      <c r="V35" s="43"/>
      <c r="W35" t="s">
        <v>80</v>
      </c>
      <c r="X35" s="69">
        <v>395</v>
      </c>
      <c r="Y35" s="182">
        <f t="shared" si="5"/>
        <v>1712</v>
      </c>
      <c r="AC35" t="s">
        <v>80</v>
      </c>
      <c r="AD35" s="69">
        <v>395</v>
      </c>
      <c r="AE35" s="182">
        <f t="shared" si="6"/>
        <v>1712</v>
      </c>
      <c r="AI35" s="40" t="s">
        <v>43</v>
      </c>
      <c r="AJ35" s="41">
        <f ca="1">OFFSET($AJ$28,MATCH($D$18,$AI$29:$AI$33,0),0)+IF($D$19=0,0,OFFSET($AK$28,MATCH($D$18,$AI$29:$AI$33,0),0))*$D$19+IF($F$12&lt;=2,0,$D$20)</f>
        <v>2626</v>
      </c>
      <c r="AK35" s="38"/>
      <c r="AM35" s="40"/>
      <c r="AN35" s="41"/>
      <c r="AO35" s="38"/>
      <c r="AP35" s="38"/>
      <c r="AQ35" s="38"/>
      <c r="AR35" s="38"/>
      <c r="AS35" s="38"/>
      <c r="AT35" s="38"/>
      <c r="AU35" s="38"/>
    </row>
    <row r="36" spans="1:47" ht="20.25" customHeight="1" x14ac:dyDescent="0.2">
      <c r="A36" s="52"/>
      <c r="B36" s="60" t="s">
        <v>50</v>
      </c>
      <c r="C36" s="52"/>
      <c r="D36" s="76">
        <v>0</v>
      </c>
      <c r="E36" s="52"/>
      <c r="F36" s="52"/>
      <c r="I36" s="1"/>
      <c r="N36" s="2"/>
      <c r="S36" s="2"/>
      <c r="T36" s="2"/>
      <c r="U36" s="38"/>
      <c r="V36" s="43"/>
      <c r="W36" t="s">
        <v>81</v>
      </c>
      <c r="X36" s="69">
        <v>460</v>
      </c>
      <c r="Y36" s="182">
        <f t="shared" si="5"/>
        <v>1994</v>
      </c>
      <c r="AC36" t="s">
        <v>81</v>
      </c>
      <c r="AD36" s="69">
        <v>460</v>
      </c>
      <c r="AE36" s="182">
        <f t="shared" si="6"/>
        <v>1994</v>
      </c>
      <c r="AM36" s="35"/>
      <c r="AN36" s="35"/>
      <c r="AO36" s="38"/>
      <c r="AP36" s="38"/>
      <c r="AQ36" s="38"/>
      <c r="AR36" s="38"/>
      <c r="AS36" s="38"/>
      <c r="AT36" s="38"/>
      <c r="AU36" s="38"/>
    </row>
    <row r="37" spans="1:47" ht="20.25" customHeight="1" x14ac:dyDescent="0.2">
      <c r="A37" s="51"/>
      <c r="B37" s="59" t="s">
        <v>51</v>
      </c>
      <c r="C37" s="50"/>
      <c r="D37" s="77">
        <v>0</v>
      </c>
      <c r="E37" s="72"/>
      <c r="F37" s="51"/>
      <c r="G37" s="1"/>
      <c r="H37" s="1"/>
      <c r="I37" s="1"/>
      <c r="N37" s="2"/>
      <c r="S37" s="2"/>
      <c r="T37" s="2"/>
      <c r="U37" s="38"/>
      <c r="V37" s="43"/>
      <c r="W37" t="s">
        <v>82</v>
      </c>
      <c r="X37" s="69">
        <v>532</v>
      </c>
      <c r="Y37" s="182">
        <f t="shared" si="5"/>
        <v>2306</v>
      </c>
      <c r="AC37" t="s">
        <v>82</v>
      </c>
      <c r="AD37" s="69">
        <v>532</v>
      </c>
      <c r="AE37" s="182">
        <f t="shared" si="6"/>
        <v>2306</v>
      </c>
      <c r="AM37" s="2"/>
      <c r="AN37" s="2"/>
      <c r="AO37" s="38"/>
      <c r="AP37" s="38"/>
      <c r="AQ37" s="38"/>
      <c r="AR37" s="38"/>
      <c r="AS37" s="38"/>
      <c r="AT37" s="38"/>
      <c r="AU37" s="38"/>
    </row>
    <row r="38" spans="1:47" ht="12.75" x14ac:dyDescent="0.2">
      <c r="A38" s="51"/>
      <c r="B38" s="59"/>
      <c r="C38" s="50"/>
      <c r="D38" s="1"/>
      <c r="E38" s="52"/>
      <c r="F38" s="51"/>
      <c r="G38" s="1"/>
      <c r="H38" s="1"/>
      <c r="I38" s="1"/>
      <c r="N38" s="2"/>
      <c r="S38" s="2"/>
      <c r="T38" s="2"/>
      <c r="AM38" s="38"/>
      <c r="AN38" s="35"/>
      <c r="AO38" s="35"/>
      <c r="AP38" s="35"/>
      <c r="AQ38" s="35"/>
      <c r="AR38" s="35"/>
      <c r="AS38" s="35"/>
      <c r="AT38" s="35"/>
      <c r="AU38" s="38"/>
    </row>
    <row r="39" spans="1:47" ht="20.25" customHeight="1" x14ac:dyDescent="0.2">
      <c r="A39" s="51"/>
      <c r="B39" s="59" t="s">
        <v>52</v>
      </c>
      <c r="C39" s="50"/>
      <c r="D39" s="78">
        <v>0</v>
      </c>
      <c r="E39" s="72"/>
      <c r="F39" s="79" t="str">
        <f>IF(D39*$U$7=0,"loan term missing",D39*$U$7)</f>
        <v>loan term missing</v>
      </c>
      <c r="G39" s="1"/>
      <c r="H39" s="1"/>
      <c r="I39" s="1"/>
      <c r="N39" s="2"/>
      <c r="S39" s="2"/>
      <c r="T39" s="2"/>
      <c r="W39" t="s">
        <v>83</v>
      </c>
      <c r="X39" s="183">
        <v>100</v>
      </c>
      <c r="Y39" s="182">
        <f>ROUND((X39*52)/12,0)</f>
        <v>433</v>
      </c>
      <c r="AC39" t="s">
        <v>83</v>
      </c>
      <c r="AD39" s="183">
        <f>'ADDITIONAL INFO'!AD35-'ADDITIONAL INFO'!AD34</f>
        <v>100</v>
      </c>
      <c r="AE39" s="182">
        <f>ROUND((AD39*52)/12,0)</f>
        <v>433</v>
      </c>
      <c r="AM39" s="2"/>
      <c r="AN39" s="35"/>
      <c r="AO39" s="35"/>
      <c r="AP39" s="35"/>
      <c r="AQ39" s="35"/>
      <c r="AR39" s="35"/>
      <c r="AS39" s="35"/>
      <c r="AT39" s="35"/>
      <c r="AU39" s="38"/>
    </row>
    <row r="40" spans="1:47" ht="20.25" customHeight="1" x14ac:dyDescent="0.2">
      <c r="A40" s="51"/>
      <c r="B40" s="59" t="s">
        <v>53</v>
      </c>
      <c r="C40" s="50"/>
      <c r="D40" s="99">
        <v>0</v>
      </c>
      <c r="E40" s="72"/>
      <c r="F40" s="80" t="str">
        <f>IF(D40/$U$7=0,"loan rate missing",D40/$U$7)</f>
        <v>loan rate missing</v>
      </c>
      <c r="G40" s="1"/>
      <c r="H40" s="1"/>
      <c r="I40" s="1"/>
      <c r="N40" s="2"/>
      <c r="S40" s="2"/>
      <c r="T40" s="2"/>
      <c r="AM40" s="35"/>
      <c r="AN40" s="35"/>
      <c r="AO40" s="35"/>
      <c r="AP40" s="35"/>
      <c r="AQ40" s="35"/>
      <c r="AR40" s="35"/>
      <c r="AS40" s="35"/>
      <c r="AT40" s="35"/>
      <c r="AU40" s="38"/>
    </row>
    <row r="41" spans="1:47" ht="12.75" x14ac:dyDescent="0.2">
      <c r="A41" s="51"/>
      <c r="B41" s="59"/>
      <c r="C41" s="50"/>
      <c r="D41" s="50"/>
      <c r="E41" s="50"/>
      <c r="F41" s="50"/>
      <c r="G41" s="1"/>
      <c r="H41" s="1"/>
      <c r="I41" s="1"/>
      <c r="K41" s="45"/>
      <c r="N41" s="2"/>
      <c r="S41" s="2"/>
      <c r="T41" s="2"/>
    </row>
    <row r="42" spans="1:47" ht="20.25" customHeight="1" x14ac:dyDescent="0.2">
      <c r="A42" s="51"/>
      <c r="B42" s="59" t="s">
        <v>54</v>
      </c>
      <c r="C42" s="52"/>
      <c r="D42" s="52"/>
      <c r="E42" s="52"/>
      <c r="F42" s="52"/>
      <c r="G42" s="1"/>
      <c r="H42" s="1"/>
      <c r="I42" s="1"/>
      <c r="N42" s="2"/>
      <c r="S42" s="2"/>
      <c r="T42" s="2"/>
    </row>
    <row r="43" spans="1:47" ht="12.75" x14ac:dyDescent="0.2">
      <c r="A43" s="51"/>
      <c r="B43" s="62" t="str">
        <f>IF($D$35="Interest Only","during IO period","")</f>
        <v/>
      </c>
      <c r="C43" s="52"/>
      <c r="D43" s="52"/>
      <c r="E43" s="52"/>
      <c r="F43" s="81" t="str">
        <f>IF($D$35="Interest Only",$D$37*F$40,"")</f>
        <v/>
      </c>
      <c r="G43" s="1"/>
      <c r="H43" s="46"/>
      <c r="I43" s="1"/>
      <c r="N43" s="2"/>
      <c r="S43" s="2"/>
      <c r="T43" s="2"/>
    </row>
    <row r="44" spans="1:47" ht="20.25" customHeight="1" x14ac:dyDescent="0.2">
      <c r="A44" s="51"/>
      <c r="B44" s="62" t="str">
        <f>IF($D$35="Interest Only","post IO period ","installment")</f>
        <v>installment</v>
      </c>
      <c r="C44" s="52"/>
      <c r="D44" s="52"/>
      <c r="E44" s="52"/>
      <c r="F44" s="64" t="str">
        <f>IF(OR(ISTEXT($F$40),ISTEXT($F$39)),"loan data missing",PMT($F$40,$F$39-IF($D$35="Principal and Interest",0,$D$36*$U$7),-$D$37))</f>
        <v>loan data missing</v>
      </c>
      <c r="G44" s="1"/>
      <c r="H44" s="46"/>
      <c r="I44" s="17"/>
      <c r="N44" s="2"/>
      <c r="S44" s="2"/>
      <c r="T44" s="2"/>
    </row>
    <row r="45" spans="1:47" ht="12.75" x14ac:dyDescent="0.2">
      <c r="A45" s="51"/>
      <c r="B45" s="59"/>
      <c r="C45" s="52"/>
      <c r="D45" s="52"/>
      <c r="E45" s="52"/>
      <c r="F45" s="52"/>
      <c r="G45" s="1"/>
      <c r="H45" s="46"/>
      <c r="I45" s="17"/>
    </row>
    <row r="46" spans="1:47" ht="12.75" x14ac:dyDescent="0.2">
      <c r="A46" s="51"/>
      <c r="B46" s="65"/>
      <c r="C46" s="50"/>
      <c r="D46" s="50"/>
      <c r="E46" s="50"/>
      <c r="F46" s="50"/>
      <c r="G46" s="3"/>
      <c r="H46" s="47"/>
      <c r="I46" s="17"/>
    </row>
    <row r="47" spans="1:47" ht="15" x14ac:dyDescent="0.2">
      <c r="A47" s="5">
        <f>A33+1</f>
        <v>5</v>
      </c>
      <c r="B47" s="68" t="s">
        <v>55</v>
      </c>
      <c r="C47" s="6"/>
      <c r="D47" s="6"/>
      <c r="E47" s="6"/>
      <c r="F47" s="37" t="s">
        <v>4</v>
      </c>
      <c r="G47" s="6"/>
      <c r="H47" s="6" t="s">
        <v>56</v>
      </c>
      <c r="I47" s="1"/>
    </row>
    <row r="48" spans="1:47" ht="12.75" x14ac:dyDescent="0.2">
      <c r="A48" s="50"/>
      <c r="B48" s="50"/>
      <c r="C48" s="50"/>
      <c r="D48" s="50"/>
      <c r="E48" s="50"/>
      <c r="F48" s="50"/>
      <c r="G48" s="3"/>
      <c r="H48" s="3"/>
      <c r="I48" s="1"/>
    </row>
    <row r="49" spans="1:11" ht="20.25" customHeight="1" x14ac:dyDescent="0.2">
      <c r="A49" s="50"/>
      <c r="B49" s="59" t="s">
        <v>57</v>
      </c>
      <c r="C49" s="59"/>
      <c r="D49" s="50"/>
      <c r="E49" s="48" t="str">
        <f>IF(D40=0,"no loan rate entered",D40+2%)</f>
        <v>no loan rate entered</v>
      </c>
      <c r="F49" s="44" t="str">
        <f>IFERROR(E49/$U$7,"loan rate missing")</f>
        <v>loan rate missing</v>
      </c>
      <c r="G49" s="3"/>
      <c r="H49" s="3"/>
      <c r="I49" s="1"/>
    </row>
    <row r="50" spans="1:11" ht="20.25" customHeight="1" x14ac:dyDescent="0.2">
      <c r="A50" s="50"/>
      <c r="B50" s="59" t="s">
        <v>54</v>
      </c>
      <c r="C50" s="100"/>
      <c r="D50" s="52"/>
      <c r="E50" s="52"/>
      <c r="F50" s="52"/>
      <c r="H50" s="3"/>
      <c r="I50" s="1"/>
    </row>
    <row r="51" spans="1:11" ht="20.25" customHeight="1" x14ac:dyDescent="0.2">
      <c r="A51" s="50"/>
      <c r="B51" s="62" t="s">
        <v>58</v>
      </c>
      <c r="C51" s="59"/>
      <c r="D51" s="50"/>
      <c r="E51" s="50"/>
      <c r="F51" s="73" t="str">
        <f>IF(OR(ISTEXT($F$40),ISTEXT($F$39)),"loan data missing",PMT($F$40,$F$39-IF($D$35="Principal and Interest",0,$D$36*$U$7),-$D$37))</f>
        <v>loan data missing</v>
      </c>
      <c r="G51" s="3"/>
      <c r="H51" s="3"/>
      <c r="I51" s="1"/>
    </row>
    <row r="52" spans="1:11" ht="20.25" customHeight="1" x14ac:dyDescent="0.2">
      <c r="A52" s="50"/>
      <c r="B52" s="62" t="s">
        <v>59</v>
      </c>
      <c r="C52" s="59"/>
      <c r="D52" s="50"/>
      <c r="E52" s="50"/>
      <c r="F52" s="73" t="str">
        <f>IF(OR(ISTEXT($F$40),ISTEXT($F$39)),"loan data missing",PMT($F$49,$F$39-IF($D$35="Principal and Interest",0,$D$36*$U$7),-$D$37))</f>
        <v>loan data missing</v>
      </c>
      <c r="G52" s="3"/>
      <c r="H52" s="3"/>
      <c r="I52" s="1"/>
    </row>
    <row r="53" spans="1:11" ht="12.75" x14ac:dyDescent="0.2">
      <c r="A53" s="50"/>
      <c r="B53" s="59"/>
      <c r="C53" s="59"/>
      <c r="D53" s="50"/>
      <c r="E53" s="50"/>
      <c r="F53" s="50"/>
      <c r="G53" s="1"/>
      <c r="H53" s="1"/>
      <c r="I53" s="1"/>
    </row>
    <row r="54" spans="1:11" ht="20.25" customHeight="1" x14ac:dyDescent="0.2">
      <c r="A54" s="50"/>
      <c r="B54" s="59" t="s">
        <v>60</v>
      </c>
      <c r="C54" s="59"/>
      <c r="D54" s="82"/>
      <c r="E54" s="83" t="str">
        <f ca="1">IFERROR(F$31/F51,"")</f>
        <v/>
      </c>
      <c r="F54" s="67" t="str">
        <f>IF(OR(ISTEXT($F$40),ISTEXT($F$39)),"loan data missing",F$31-F51)</f>
        <v>loan data missing</v>
      </c>
      <c r="G54" s="1"/>
      <c r="H54" s="1"/>
      <c r="I54" s="1"/>
    </row>
    <row r="55" spans="1:11" ht="20.25" customHeight="1" x14ac:dyDescent="0.2">
      <c r="A55" s="50"/>
      <c r="B55" s="59" t="s">
        <v>61</v>
      </c>
      <c r="C55" s="59"/>
      <c r="D55" s="82"/>
      <c r="E55" s="83" t="str">
        <f ca="1">IFERROR(F$31/F52,"")</f>
        <v/>
      </c>
      <c r="F55" s="67" t="str">
        <f>IF(OR(ISTEXT($F$40),ISTEXT($F$39)),"loan data missing",F$31-F52)</f>
        <v>loan data missing</v>
      </c>
      <c r="G55" s="1"/>
      <c r="H55" s="1" t="str">
        <f>IF(ISTEXT(F55),"loan data missing",IF(F55&gt;0.99999,"PASS","FAIL"))</f>
        <v>loan data missing</v>
      </c>
      <c r="I55" s="1"/>
      <c r="K55" s="49"/>
    </row>
    <row r="56" spans="1:11" ht="12.75" x14ac:dyDescent="0.2">
      <c r="A56" s="52"/>
      <c r="B56" s="100"/>
      <c r="C56" s="59"/>
      <c r="D56" s="50"/>
      <c r="E56" s="50"/>
      <c r="F56" s="57"/>
      <c r="G56" s="1"/>
      <c r="H56" s="1"/>
      <c r="I56" s="1"/>
    </row>
    <row r="57" spans="1:11" ht="12.75" x14ac:dyDescent="0.2">
      <c r="A57" s="52"/>
      <c r="B57" s="100"/>
      <c r="C57" s="59"/>
      <c r="D57" s="50"/>
      <c r="E57" s="50"/>
      <c r="F57" s="50"/>
      <c r="G57" s="1"/>
      <c r="H57" s="1"/>
      <c r="I57" s="1"/>
    </row>
    <row r="58" spans="1:11" ht="12.75" x14ac:dyDescent="0.2">
      <c r="A58" s="52"/>
      <c r="B58" s="100"/>
      <c r="C58" s="59"/>
      <c r="D58" s="50"/>
      <c r="E58" s="50"/>
      <c r="F58" s="50"/>
      <c r="G58" s="1"/>
      <c r="H58" s="1"/>
      <c r="I58" s="1"/>
    </row>
    <row r="59" spans="1:11" ht="20.25" customHeight="1" x14ac:dyDescent="0.2">
      <c r="A59" s="52"/>
      <c r="B59" s="100" t="s">
        <v>62</v>
      </c>
      <c r="C59" s="100"/>
      <c r="D59" s="52"/>
      <c r="E59" s="52"/>
      <c r="F59" s="52"/>
    </row>
    <row r="60" spans="1:11" ht="20.25" customHeight="1" x14ac:dyDescent="0.2">
      <c r="A60" s="52"/>
      <c r="B60" s="101" t="s">
        <v>63</v>
      </c>
      <c r="C60" s="100"/>
      <c r="D60" s="85">
        <v>0</v>
      </c>
      <c r="E60" s="52"/>
      <c r="F60" s="52"/>
    </row>
    <row r="61" spans="1:11" ht="20.25" customHeight="1" x14ac:dyDescent="0.2">
      <c r="A61" s="52"/>
      <c r="B61" s="101" t="s">
        <v>64</v>
      </c>
      <c r="C61" s="100"/>
      <c r="D61" s="86">
        <v>0.8</v>
      </c>
      <c r="E61" s="52"/>
      <c r="F61" s="52"/>
    </row>
    <row r="62" spans="1:11" ht="20.25" customHeight="1" x14ac:dyDescent="0.2">
      <c r="A62" s="52"/>
      <c r="B62" s="101" t="str">
        <f>"Maximum Loan @ LVR Band &lt; "&amp;TEXT(D$61,"0.0%")</f>
        <v>Maximum Loan @ LVR Band &lt; 80.0%</v>
      </c>
      <c r="C62" s="100"/>
      <c r="D62" s="87" t="str">
        <f ca="1">IFERROR(ROUNDDOWN(MIN(D61*D60-1,-PV($E$49/12,$D$39*12,MAX(0,$F$31-1))),-2),"data missing")</f>
        <v>data missing</v>
      </c>
      <c r="E62" s="84">
        <f ca="1">IFERROR(D62/D60,0)</f>
        <v>0</v>
      </c>
      <c r="F62" s="52"/>
    </row>
    <row r="63" spans="1:11" ht="11.25" customHeight="1" x14ac:dyDescent="0.2">
      <c r="A63" s="52"/>
      <c r="B63" s="100"/>
      <c r="C63" s="100"/>
      <c r="D63" s="52"/>
      <c r="E63" s="52"/>
      <c r="F63" s="52"/>
    </row>
    <row r="64" spans="1:11" ht="11.25" customHeight="1" x14ac:dyDescent="0.2">
      <c r="B64" s="100"/>
      <c r="C64" s="100"/>
      <c r="D64" s="52"/>
      <c r="E64" s="52"/>
      <c r="F64" s="52"/>
    </row>
    <row r="65" spans="2:6" ht="11.25" customHeight="1" x14ac:dyDescent="0.2">
      <c r="B65" s="100"/>
      <c r="C65" s="100"/>
      <c r="D65" s="52"/>
      <c r="E65" s="52"/>
      <c r="F65" s="52"/>
    </row>
    <row r="66" spans="2:6" ht="11.25" customHeight="1" x14ac:dyDescent="0.2">
      <c r="B66" s="100"/>
      <c r="C66" s="100"/>
      <c r="D66" s="52"/>
      <c r="E66" s="52"/>
      <c r="F66" s="52"/>
    </row>
    <row r="67" spans="2:6" ht="11.25" customHeight="1" x14ac:dyDescent="0.2">
      <c r="B67" s="100"/>
      <c r="C67" s="100"/>
      <c r="D67" s="52"/>
      <c r="E67" s="52"/>
    </row>
    <row r="68" spans="2:6" ht="11.25" customHeight="1" x14ac:dyDescent="0.2">
      <c r="B68" s="100"/>
      <c r="C68" s="100"/>
    </row>
  </sheetData>
  <mergeCells count="5">
    <mergeCell ref="A1:F1"/>
    <mergeCell ref="D11:E11"/>
    <mergeCell ref="W26:Y26"/>
    <mergeCell ref="AC24:AE24"/>
    <mergeCell ref="W24:Y24"/>
  </mergeCells>
  <conditionalFormatting sqref="D36">
    <cfRule type="expression" dxfId="30" priority="29">
      <formula>D35="Principal and Interest"</formula>
    </cfRule>
    <cfRule type="expression" dxfId="29" priority="30">
      <formula>$D36=0</formula>
    </cfRule>
  </conditionalFormatting>
  <conditionalFormatting sqref="D35">
    <cfRule type="expression" dxfId="28" priority="28"/>
  </conditionalFormatting>
  <conditionalFormatting sqref="H55">
    <cfRule type="expression" dxfId="27" priority="27">
      <formula>$H55="PASS"</formula>
    </cfRule>
  </conditionalFormatting>
  <conditionalFormatting sqref="H55">
    <cfRule type="expression" dxfId="26" priority="26">
      <formula>OR($H55="FAIL",$H55="loan data missing")</formula>
    </cfRule>
  </conditionalFormatting>
  <conditionalFormatting sqref="F54:F55">
    <cfRule type="expression" dxfId="25" priority="25">
      <formula>OR($F54&lt;0,ISTEXT($F54))</formula>
    </cfRule>
  </conditionalFormatting>
  <conditionalFormatting sqref="F54:F55">
    <cfRule type="cellIs" dxfId="24" priority="24" operator="greaterThan">
      <formula>0.99999</formula>
    </cfRule>
  </conditionalFormatting>
  <conditionalFormatting sqref="F43">
    <cfRule type="expression" dxfId="23" priority="23">
      <formula>$B43=""</formula>
    </cfRule>
  </conditionalFormatting>
  <conditionalFormatting sqref="D37">
    <cfRule type="expression" dxfId="22" priority="22">
      <formula>$D37=0</formula>
    </cfRule>
  </conditionalFormatting>
  <conditionalFormatting sqref="D39">
    <cfRule type="expression" dxfId="21" priority="21">
      <formula>$D39=0</formula>
    </cfRule>
  </conditionalFormatting>
  <conditionalFormatting sqref="D40">
    <cfRule type="expression" dxfId="20" priority="20">
      <formula>$D40=0</formula>
    </cfRule>
  </conditionalFormatting>
  <conditionalFormatting sqref="F51">
    <cfRule type="expression" dxfId="19" priority="19">
      <formula>$F51="loan data missing"</formula>
    </cfRule>
  </conditionalFormatting>
  <conditionalFormatting sqref="F52">
    <cfRule type="expression" dxfId="18" priority="18">
      <formula>$F52="loan data missing"</formula>
    </cfRule>
  </conditionalFormatting>
  <conditionalFormatting sqref="F54">
    <cfRule type="expression" dxfId="17" priority="17">
      <formula>$F54="loan data missing"</formula>
    </cfRule>
  </conditionalFormatting>
  <conditionalFormatting sqref="F55">
    <cfRule type="expression" dxfId="16" priority="16">
      <formula>$F55="loan data missing"</formula>
    </cfRule>
  </conditionalFormatting>
  <conditionalFormatting sqref="F44">
    <cfRule type="expression" dxfId="15" priority="15">
      <formula>$F44="loan data missing"</formula>
    </cfRule>
  </conditionalFormatting>
  <conditionalFormatting sqref="F39">
    <cfRule type="expression" dxfId="14" priority="14">
      <formula>$F39="loan term missing"</formula>
    </cfRule>
  </conditionalFormatting>
  <conditionalFormatting sqref="F40">
    <cfRule type="expression" dxfId="13" priority="13">
      <formula>$F40="loan rate missing"</formula>
    </cfRule>
  </conditionalFormatting>
  <conditionalFormatting sqref="D5:D8">
    <cfRule type="expression" dxfId="12" priority="12">
      <formula>$D5=0</formula>
    </cfRule>
  </conditionalFormatting>
  <conditionalFormatting sqref="E5:E8">
    <cfRule type="expression" dxfId="11" priority="11">
      <formula>$D5=0</formula>
    </cfRule>
  </conditionalFormatting>
  <conditionalFormatting sqref="E49">
    <cfRule type="expression" dxfId="10" priority="10">
      <formula>$E49="no loan rate entered"</formula>
    </cfRule>
  </conditionalFormatting>
  <conditionalFormatting sqref="F49">
    <cfRule type="expression" dxfId="9" priority="9">
      <formula>$F49="loan rate missing"</formula>
    </cfRule>
  </conditionalFormatting>
  <conditionalFormatting sqref="F21">
    <cfRule type="expression" dxfId="8" priority="8">
      <formula>$F21="marital status missing"</formula>
    </cfRule>
  </conditionalFormatting>
  <conditionalFormatting sqref="F31">
    <cfRule type="expression" dxfId="7" priority="7">
      <formula>$F31="data missing"</formula>
    </cfRule>
  </conditionalFormatting>
  <conditionalFormatting sqref="D21">
    <cfRule type="expression" dxfId="6" priority="6">
      <formula>$D21=0</formula>
    </cfRule>
  </conditionalFormatting>
  <conditionalFormatting sqref="D9">
    <cfRule type="expression" dxfId="5" priority="5">
      <formula>$D9=0</formula>
    </cfRule>
  </conditionalFormatting>
  <conditionalFormatting sqref="D10">
    <cfRule type="expression" dxfId="4" priority="4">
      <formula>$D10=0</formula>
    </cfRule>
  </conditionalFormatting>
  <conditionalFormatting sqref="D5:D8">
    <cfRule type="expression" dxfId="3" priority="3">
      <formula>$D5=0</formula>
    </cfRule>
  </conditionalFormatting>
  <conditionalFormatting sqref="D9">
    <cfRule type="expression" dxfId="2" priority="2">
      <formula>$D9=0</formula>
    </cfRule>
  </conditionalFormatting>
  <conditionalFormatting sqref="D10">
    <cfRule type="expression" dxfId="1" priority="1">
      <formula>$D10=0</formula>
    </cfRule>
  </conditionalFormatting>
  <conditionalFormatting sqref="D20">
    <cfRule type="expression" dxfId="0" priority="35">
      <formula>F12&lt;=1</formula>
    </cfRule>
  </conditionalFormatting>
  <dataValidations count="3">
    <dataValidation type="list" allowBlank="1" showInputMessage="1" showErrorMessage="1" sqref="D61" xr:uid="{00000000-0002-0000-0100-000000000000}">
      <formula1>"60%,65%,70%,75%,80%,85%"</formula1>
    </dataValidation>
    <dataValidation type="list" showErrorMessage="1" sqref="D35" xr:uid="{00000000-0002-0000-0100-000001000000}">
      <formula1>"Principal and Interest,Interest Only"</formula1>
    </dataValidation>
    <dataValidation type="list" showErrorMessage="1" sqref="D18" xr:uid="{00000000-0002-0000-0100-000002000000}">
      <formula1>$AI$29:$AI$33</formula1>
    </dataValidation>
  </dataValidations>
  <hyperlinks>
    <hyperlink ref="V3" r:id="rId1" xr:uid="{00000000-0004-0000-0100-000000000000}"/>
    <hyperlink ref="R3" r:id="rId2" xr:uid="{00000000-0004-0000-0100-000001000000}"/>
  </hyperlinks>
  <pageMargins left="0.7" right="0.7" top="0.75" bottom="0.75" header="0.3" footer="0.3"/>
  <pageSetup paperSize="9" scale="83" orientation="portrait" horizontalDpi="4294967293" verticalDpi="4294967293" r:id="rId3"/>
  <colBreaks count="1" manualBreakCount="1">
    <brk id="6" max="1048575" man="1"/>
  </colBreaks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275E711-BD11-4E1B-BEF6-566226354BD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SERVICEABILITY CALCULATOR</vt:lpstr>
      <vt:lpstr>ADDITIONAL INFO</vt:lpstr>
      <vt:lpstr>'SERVICEABILITY CALCULATOR'!Print_Area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</dc:creator>
  <cp:lastModifiedBy>Cathal Breslin</cp:lastModifiedBy>
  <cp:lastPrinted>2017-11-24T03:34:51Z</cp:lastPrinted>
  <dcterms:created xsi:type="dcterms:W3CDTF">2015-03-21T02:00:42Z</dcterms:created>
  <dcterms:modified xsi:type="dcterms:W3CDTF">2018-11-20T23:30:17Z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TC041010719991</vt:lpwstr>
  </property>
</Properties>
</file>